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add37b7d407d88/Dokumente/My Buisness Folder/"/>
    </mc:Choice>
  </mc:AlternateContent>
  <xr:revisionPtr revIDLastSave="115" documentId="8_{688EF985-A971-40A6-8701-14F9FF6C846F}" xr6:coauthVersionLast="47" xr6:coauthVersionMax="47" xr10:uidLastSave="{928C85EC-27C9-432E-9C42-79C59FC37DBB}"/>
  <bookViews>
    <workbookView xWindow="-120" yWindow="-120" windowWidth="29040" windowHeight="15720" xr2:uid="{2303F442-9C0B-40FE-9699-22BB5381762B}"/>
  </bookViews>
  <sheets>
    <sheet name="BR | 24 " sheetId="27" r:id="rId1"/>
    <sheet name="VK | 24" sheetId="15" r:id="rId2"/>
    <sheet name="Preistabelle" sheetId="14" r:id="rId3"/>
    <sheet name="Hilfsdaten" sheetId="17" state="hidden" r:id="rId4"/>
  </sheets>
  <definedNames>
    <definedName name="_€_min">Preistabelle!$O$41</definedName>
    <definedName name="_BLP1pkwh" comment="Strom verbrauch: Bambulab P1p in kWh">Preistabelle!$T$32</definedName>
    <definedName name="_OFgeskWh" comment="Der gesamtverbrauch des offices welches aus den oben aufgezälten geräten bestheht in kWh">Preistabelle!$Q$35</definedName>
    <definedName name="_StP€kWh" comment="Der aktuelle strompreis pro kWh">Preistabelle!$I$38</definedName>
    <definedName name="Gewinn_3DD">Preistabelle!$J$48</definedName>
    <definedName name="GW_3D" comment="Das was für die sonder ausgaben abgezogen wird und als gwein übrigbleibt">Preistabelle!$J$42</definedName>
    <definedName name="P3D">Preistabelle!$J$54</definedName>
    <definedName name="P3DE">Preistabelle!$J$60</definedName>
    <definedName name="PPer_0_5p">Preistabelle!$R$56</definedName>
    <definedName name="PPer_0_6p">Preistabelle!$S$55</definedName>
    <definedName name="PPer_1_4p">Preistabelle!$R$55</definedName>
    <definedName name="PPer_1_5p">Preistabelle!$S$54</definedName>
    <definedName name="PPer_3p">Preistabelle!$R$54</definedName>
    <definedName name="PPer_Max_13">Preistabelle!$S$57</definedName>
    <definedName name="Preis_3D">Preistabelle!$R$41</definedName>
    <definedName name="Preis_3D_0.00825">Preistabelle!$R$43</definedName>
    <definedName name="Preis_3D_0.010">Preistabelle!$R$42</definedName>
    <definedName name="Preis_3D_0.015">Preistabelle!$R$42</definedName>
    <definedName name="Preis_3D_0.0165">Preistabelle!$R$42</definedName>
    <definedName name="Preis_3DD" comment="Preis 3ddruck pro min druck und personal pauschale für arbeit pro min druck bei &gt;= 250min">Preistabelle!$R$41</definedName>
    <definedName name="Preis_3DD_0.00825" comment="Preis 3dd bei =&lt;1250 ">Preistabelle!$R$43</definedName>
    <definedName name="Preis_3DD_0.0165" comment="Preis perso bei &lt;=250/1250">Preistabelle!$R$42</definedName>
    <definedName name="Preis_GW_3DD" comment="der preis vo 3DD">Preistabelle!$O$48</definedName>
    <definedName name="Preis_H_3DD">Preistabelle!$O$48</definedName>
    <definedName name="Preis_inH_3DD">Preistabelle!$O$48</definedName>
    <definedName name="Preis_K_in_H_3DD">Preistabelle!$O$48</definedName>
    <definedName name="PreisinH_3DD">Preistabelle!$O$48</definedName>
    <definedName name="PSoAu_3DE">Preistabelle!$M$60</definedName>
    <definedName name="PSoAu_Max">Preistabelle!$O$56</definedName>
    <definedName name="PSoAU3D">Preistabelle!$M$55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5" l="1"/>
  <c r="C4" i="15"/>
  <c r="E4" i="15" s="1"/>
  <c r="C5" i="15"/>
  <c r="C6" i="15"/>
  <c r="C7" i="15"/>
  <c r="C8" i="15"/>
  <c r="C9" i="15"/>
  <c r="C10" i="15"/>
  <c r="E53" i="17"/>
  <c r="E52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B3" i="17"/>
  <c r="A3" i="17"/>
  <c r="B2" i="17"/>
  <c r="A2" i="17"/>
  <c r="G66" i="14"/>
  <c r="B66" i="14"/>
  <c r="G65" i="14"/>
  <c r="B65" i="14"/>
  <c r="G64" i="14"/>
  <c r="B64" i="14"/>
  <c r="G61" i="14"/>
  <c r="B61" i="14"/>
  <c r="G60" i="14"/>
  <c r="B60" i="14"/>
  <c r="G59" i="14"/>
  <c r="B59" i="14"/>
  <c r="G58" i="14"/>
  <c r="B58" i="14"/>
  <c r="G57" i="14"/>
  <c r="B57" i="14"/>
  <c r="G56" i="14"/>
  <c r="B56" i="14"/>
  <c r="G55" i="14"/>
  <c r="B55" i="14"/>
  <c r="G54" i="14"/>
  <c r="B54" i="14"/>
  <c r="G53" i="14"/>
  <c r="B53" i="14"/>
  <c r="G52" i="14"/>
  <c r="B52" i="14"/>
  <c r="G51" i="14"/>
  <c r="B51" i="14"/>
  <c r="G50" i="14"/>
  <c r="B50" i="14"/>
  <c r="G48" i="14"/>
  <c r="B48" i="14"/>
  <c r="G47" i="14"/>
  <c r="B47" i="14"/>
  <c r="G46" i="14"/>
  <c r="B46" i="14"/>
  <c r="G45" i="14"/>
  <c r="B45" i="14"/>
  <c r="G44" i="14"/>
  <c r="B44" i="14"/>
  <c r="G42" i="14"/>
  <c r="B42" i="14"/>
  <c r="O41" i="14"/>
  <c r="G41" i="14"/>
  <c r="B41" i="14"/>
  <c r="G40" i="14"/>
  <c r="B40" i="14"/>
  <c r="G39" i="14"/>
  <c r="B39" i="14"/>
  <c r="G38" i="14"/>
  <c r="B38" i="14"/>
  <c r="G37" i="14"/>
  <c r="B37" i="14"/>
  <c r="G36" i="14"/>
  <c r="B36" i="14"/>
  <c r="G35" i="14"/>
  <c r="B35" i="14"/>
  <c r="G34" i="14"/>
  <c r="B34" i="14"/>
  <c r="G31" i="14"/>
  <c r="B31" i="14"/>
  <c r="G29" i="14"/>
  <c r="B29" i="14"/>
  <c r="G28" i="14"/>
  <c r="B28" i="14"/>
  <c r="G26" i="14"/>
  <c r="B26" i="14"/>
  <c r="G25" i="14"/>
  <c r="B25" i="14"/>
  <c r="G24" i="14"/>
  <c r="B24" i="14"/>
  <c r="G23" i="14"/>
  <c r="B23" i="14"/>
  <c r="G21" i="14"/>
  <c r="B21" i="14"/>
  <c r="G20" i="14"/>
  <c r="B20" i="14"/>
  <c r="G19" i="14"/>
  <c r="B19" i="14"/>
  <c r="G18" i="14"/>
  <c r="B18" i="14"/>
  <c r="G17" i="14"/>
  <c r="B17" i="14"/>
  <c r="G15" i="14"/>
  <c r="B15" i="14"/>
  <c r="G14" i="14"/>
  <c r="B14" i="14"/>
  <c r="G13" i="14"/>
  <c r="B13" i="14"/>
  <c r="G11" i="14"/>
  <c r="B11" i="14"/>
  <c r="G10" i="14"/>
  <c r="B10" i="14"/>
  <c r="G9" i="14"/>
  <c r="B9" i="14"/>
  <c r="G8" i="14"/>
  <c r="B8" i="14"/>
  <c r="G7" i="14"/>
  <c r="B7" i="14"/>
  <c r="G6" i="14"/>
  <c r="B6" i="14"/>
  <c r="G5" i="14"/>
  <c r="B5" i="14"/>
  <c r="G4" i="14"/>
  <c r="B4" i="14"/>
  <c r="G3" i="14"/>
  <c r="B3" i="14"/>
  <c r="AH10" i="27"/>
  <c r="AF10" i="27"/>
  <c r="AE10" i="27"/>
  <c r="AD10" i="27"/>
  <c r="AC10" i="27"/>
  <c r="AB10" i="27"/>
  <c r="AA10" i="27"/>
  <c r="Z10" i="27"/>
  <c r="Y10" i="27"/>
  <c r="X10" i="27"/>
  <c r="W10" i="27"/>
  <c r="AG10" i="27" s="1"/>
  <c r="T10" i="27"/>
  <c r="R10" i="27"/>
  <c r="Q10" i="27"/>
  <c r="O10" i="27"/>
  <c r="AH9" i="27"/>
  <c r="AF9" i="27"/>
  <c r="AE9" i="27"/>
  <c r="AD9" i="27"/>
  <c r="AC9" i="27"/>
  <c r="AB9" i="27"/>
  <c r="AA9" i="27"/>
  <c r="Z9" i="27"/>
  <c r="Y9" i="27"/>
  <c r="X9" i="27"/>
  <c r="AG9" i="27" s="1"/>
  <c r="W9" i="27"/>
  <c r="P9" i="27" s="1"/>
  <c r="S9" i="27" s="1"/>
  <c r="U9" i="27" s="1"/>
  <c r="E9" i="15" s="1"/>
  <c r="T9" i="27"/>
  <c r="R9" i="27"/>
  <c r="Q9" i="27"/>
  <c r="O9" i="27"/>
  <c r="AH8" i="27"/>
  <c r="AF8" i="27"/>
  <c r="AE8" i="27"/>
  <c r="AD8" i="27"/>
  <c r="AC8" i="27"/>
  <c r="AB8" i="27"/>
  <c r="Q8" i="27" s="1"/>
  <c r="AA8" i="27"/>
  <c r="Z8" i="27"/>
  <c r="Y8" i="27"/>
  <c r="X8" i="27"/>
  <c r="W8" i="27"/>
  <c r="T8" i="27"/>
  <c r="R8" i="27"/>
  <c r="O8" i="27"/>
  <c r="AH7" i="27"/>
  <c r="AG7" i="27"/>
  <c r="AF7" i="27"/>
  <c r="AE7" i="27"/>
  <c r="AD7" i="27"/>
  <c r="AC7" i="27"/>
  <c r="AB7" i="27"/>
  <c r="AA7" i="27"/>
  <c r="Q7" i="27" s="1"/>
  <c r="Z7" i="27"/>
  <c r="Y7" i="27"/>
  <c r="X7" i="27"/>
  <c r="W7" i="27"/>
  <c r="P7" i="27" s="1"/>
  <c r="T7" i="27"/>
  <c r="R7" i="27"/>
  <c r="O7" i="27"/>
  <c r="AH6" i="27"/>
  <c r="AF6" i="27"/>
  <c r="AE6" i="27"/>
  <c r="AD6" i="27"/>
  <c r="AC6" i="27"/>
  <c r="AB6" i="27"/>
  <c r="AA6" i="27"/>
  <c r="Z6" i="27"/>
  <c r="Y6" i="27"/>
  <c r="X6" i="27"/>
  <c r="W6" i="27"/>
  <c r="AG6" i="27" s="1"/>
  <c r="T6" i="27"/>
  <c r="R6" i="27"/>
  <c r="Q6" i="27"/>
  <c r="P6" i="27"/>
  <c r="S6" i="27" s="1"/>
  <c r="U6" i="27" s="1"/>
  <c r="E6" i="15" s="1"/>
  <c r="O6" i="27"/>
  <c r="AH5" i="27"/>
  <c r="AF5" i="27"/>
  <c r="AE5" i="27"/>
  <c r="AD5" i="27"/>
  <c r="AC5" i="27"/>
  <c r="AB5" i="27"/>
  <c r="AA5" i="27"/>
  <c r="Z5" i="27"/>
  <c r="Y5" i="27"/>
  <c r="X5" i="27"/>
  <c r="W5" i="27"/>
  <c r="T5" i="27"/>
  <c r="R5" i="27"/>
  <c r="Q5" i="27"/>
  <c r="O5" i="27"/>
  <c r="AH4" i="27"/>
  <c r="AF4" i="27"/>
  <c r="AE4" i="27"/>
  <c r="AD4" i="27"/>
  <c r="O4" i="27" s="1"/>
  <c r="AC4" i="27"/>
  <c r="AB4" i="27"/>
  <c r="AA4" i="27"/>
  <c r="Z4" i="27"/>
  <c r="Y4" i="27"/>
  <c r="X4" i="27"/>
  <c r="P4" i="27" s="1"/>
  <c r="S4" i="27" s="1"/>
  <c r="U4" i="27" s="1"/>
  <c r="W4" i="27"/>
  <c r="AG4" i="27" s="1"/>
  <c r="T4" i="27"/>
  <c r="R4" i="27"/>
  <c r="Q4" i="27"/>
  <c r="AH3" i="27"/>
  <c r="AF3" i="27"/>
  <c r="AE3" i="27"/>
  <c r="AD3" i="27"/>
  <c r="AC3" i="27"/>
  <c r="AB3" i="27"/>
  <c r="AA3" i="27"/>
  <c r="Z3" i="27"/>
  <c r="Y3" i="27"/>
  <c r="X3" i="27"/>
  <c r="W3" i="27"/>
  <c r="P3" i="27" s="1"/>
  <c r="T3" i="27"/>
  <c r="R3" i="27"/>
  <c r="Q3" i="27"/>
  <c r="O3" i="27"/>
  <c r="AH2" i="27"/>
  <c r="AF2" i="27"/>
  <c r="T2" i="27" s="1"/>
  <c r="AE2" i="27"/>
  <c r="AD2" i="27"/>
  <c r="O2" i="27" s="1"/>
  <c r="AC2" i="27"/>
  <c r="AB2" i="27"/>
  <c r="AA2" i="27"/>
  <c r="Z2" i="27"/>
  <c r="Y2" i="27"/>
  <c r="X2" i="27"/>
  <c r="W2" i="27"/>
  <c r="R2" i="27"/>
  <c r="Q2" i="27"/>
  <c r="A6" i="15" l="1"/>
  <c r="S7" i="27"/>
  <c r="U7" i="27" s="1"/>
  <c r="E7" i="15" s="1"/>
  <c r="AG5" i="27"/>
  <c r="AG3" i="27"/>
  <c r="S3" i="27"/>
  <c r="U3" i="27" s="1"/>
  <c r="AG2" i="27"/>
  <c r="P2" i="27"/>
  <c r="S2" i="27" s="1"/>
  <c r="U2" i="27" s="1"/>
  <c r="C2" i="15" s="1"/>
  <c r="E2" i="15" s="1"/>
  <c r="A2" i="15" s="1"/>
  <c r="AG8" i="27"/>
  <c r="A9" i="15"/>
  <c r="A4" i="15"/>
  <c r="P8" i="27"/>
  <c r="S8" i="27" s="1"/>
  <c r="U8" i="27" s="1"/>
  <c r="E8" i="15" s="1"/>
  <c r="P10" i="27"/>
  <c r="S10" i="27" s="1"/>
  <c r="U10" i="27" s="1"/>
  <c r="E10" i="15" s="1"/>
  <c r="P5" i="27"/>
  <c r="S5" i="27" s="1"/>
  <c r="U5" i="27" s="1"/>
  <c r="A7" i="15" l="1"/>
  <c r="E3" i="15"/>
  <c r="A3" i="15" s="1"/>
  <c r="E5" i="15"/>
  <c r="A5" i="15" s="1"/>
  <c r="A8" i="15"/>
  <c r="A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Matthias klöck</author>
    <author>tc={6A788355-4DE6-426D-8B32-714EAA112B49}</author>
    <author>tc={FF7C770B-16BF-4375-A243-0F31902473E7}</author>
    <author>tc={2D00D5DD-72D9-463A-A409-54E6C5F0B75F}</author>
    <author>tc={FAFCC3B1-3716-4628-A039-30094BB35F15}</author>
  </authors>
  <commentList>
    <comment ref="A1" authorId="0" shapeId="0" xr:uid="{7245C929-EF71-40B5-853C-A57810764F17}">
      <text>
        <r>
          <rPr>
            <b/>
            <sz val="9"/>
            <color indexed="81"/>
            <rFont val="Segoe UI"/>
            <family val="2"/>
          </rPr>
          <t>Matthias klöck:</t>
        </r>
        <r>
          <rPr>
            <sz val="9"/>
            <color indexed="81"/>
            <rFont val="Segoe UI"/>
            <family val="2"/>
          </rPr>
          <t xml:space="preserve">
3D/min: = Länge des 3D Druckes in minuten</t>
        </r>
      </text>
    </comment>
    <comment ref="B1" authorId="0" shapeId="0" xr:uid="{3364BBCE-F096-45C5-ABA7-56EB2C6B4F8B}">
      <text>
        <r>
          <rPr>
            <b/>
            <sz val="9"/>
            <color indexed="81"/>
            <rFont val="Segoe UI"/>
            <family val="2"/>
          </rPr>
          <t>Matthias klöck:</t>
        </r>
        <r>
          <rPr>
            <sz val="9"/>
            <color indexed="81"/>
            <rFont val="Segoe UI"/>
            <family val="2"/>
          </rPr>
          <t xml:space="preserve">
3DE/H: = länge des 3D Desinges in Stunden</t>
        </r>
      </text>
    </comment>
    <comment ref="C1" authorId="0" shapeId="0" xr:uid="{3F3AD80F-0ECE-4B1D-B044-A69C5BA2CC43}">
      <text>
        <r>
          <rPr>
            <b/>
            <sz val="9"/>
            <color indexed="81"/>
            <rFont val="Segoe UI"/>
            <family val="2"/>
          </rPr>
          <t>Matthias klöck:</t>
        </r>
        <r>
          <rPr>
            <sz val="9"/>
            <color indexed="81"/>
            <rFont val="Segoe UI"/>
            <family val="2"/>
          </rPr>
          <t xml:space="preserve">
M1: = Material 1 welches verwendet wird. Wird mit der materialnummer angegeben ung gild auch für M2, M3, M4</t>
        </r>
      </text>
    </comment>
    <comment ref="O1" authorId="1" shapeId="0" xr:uid="{6A788355-4DE6-426D-8B32-714EAA112B4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Stromkosten gesamt von 3D Druck und Desinge</t>
      </text>
    </comment>
    <comment ref="P1" authorId="2" shapeId="0" xr:uid="{FF7C770B-16BF-4375-A243-0F31902473E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Material /€ = Material Kosten Ingesamt</t>
      </text>
    </comment>
    <comment ref="Q1" authorId="3" shapeId="0" xr:uid="{2D00D5DD-72D9-463A-A409-54E6C5F0B75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Extras/€ = Extras Kosten Ingesamt</t>
      </text>
    </comment>
    <comment ref="S1" authorId="0" shapeId="0" xr:uid="{E93942F8-DA6E-44FD-AEFF-A4C465A56B4E}">
      <text>
        <r>
          <rPr>
            <b/>
            <sz val="9"/>
            <color indexed="81"/>
            <rFont val="Segoe UI"/>
            <family val="2"/>
          </rPr>
          <t>Matthias klöck:</t>
        </r>
        <r>
          <rPr>
            <sz val="9"/>
            <color indexed="81"/>
            <rFont val="Segoe UI"/>
            <family val="2"/>
          </rPr>
          <t xml:space="preserve">
R/3D: = Rechnungsbetrag 3D Druck</t>
        </r>
      </text>
    </comment>
    <comment ref="T1" authorId="0" shapeId="0" xr:uid="{6CF03414-8200-4A31-89FB-5AF1101A7AE0}">
      <text>
        <r>
          <rPr>
            <b/>
            <sz val="9"/>
            <color indexed="81"/>
            <rFont val="Segoe UI"/>
            <family val="2"/>
          </rPr>
          <t>Matthias klöck:</t>
        </r>
        <r>
          <rPr>
            <sz val="9"/>
            <color indexed="81"/>
            <rFont val="Segoe UI"/>
            <family val="2"/>
          </rPr>
          <t xml:space="preserve">
R/3DE: = Rechnungsbetrag 3D Desinge</t>
        </r>
      </text>
    </comment>
    <comment ref="U1" authorId="0" shapeId="0" xr:uid="{D56E5DE3-E6E4-43EE-B915-ED2B3DD9D7D2}">
      <text>
        <r>
          <rPr>
            <b/>
            <sz val="9"/>
            <color indexed="81"/>
            <rFont val="Segoe UI"/>
            <family val="2"/>
          </rPr>
          <t>Matthias klöck:</t>
        </r>
        <r>
          <rPr>
            <sz val="9"/>
            <color indexed="81"/>
            <rFont val="Segoe UI"/>
            <family val="2"/>
          </rPr>
          <t xml:space="preserve">
R/Be: =Rechungsbetrag Gesamt</t>
        </r>
      </text>
    </comment>
    <comment ref="AC1" authorId="4" shapeId="0" xr:uid="{FAFCC3B1-3716-4628-A039-30094BB35F1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St3D/ =Stromkosten 3D Druck</t>
      </text>
    </comment>
  </commentList>
</comments>
</file>

<file path=xl/sharedStrings.xml><?xml version="1.0" encoding="utf-8"?>
<sst xmlns="http://schemas.openxmlformats.org/spreadsheetml/2006/main" count="324" uniqueCount="170">
  <si>
    <t>PLA</t>
  </si>
  <si>
    <t>PETG</t>
  </si>
  <si>
    <t>Gewinn:</t>
  </si>
  <si>
    <t>Rechnungsbetrag:</t>
  </si>
  <si>
    <t>Extra art:</t>
  </si>
  <si>
    <t>Preis/St</t>
  </si>
  <si>
    <t>Schmelzschraube:</t>
  </si>
  <si>
    <t>Magnet 5x5x1mm</t>
  </si>
  <si>
    <t>Magnet 10x5x1mm</t>
  </si>
  <si>
    <t>Schraube:</t>
  </si>
  <si>
    <t>1x Schraube</t>
  </si>
  <si>
    <t>1x Beilagscheibe</t>
  </si>
  <si>
    <t>1x Mutter</t>
  </si>
  <si>
    <t>Hersteller:</t>
  </si>
  <si>
    <t>Schwarz</t>
  </si>
  <si>
    <t>Rot</t>
  </si>
  <si>
    <t>Weiß</t>
  </si>
  <si>
    <t>Silber</t>
  </si>
  <si>
    <t>Redline</t>
  </si>
  <si>
    <t>Material:</t>
  </si>
  <si>
    <t>3D Druck</t>
  </si>
  <si>
    <t>Extras/€:</t>
  </si>
  <si>
    <t>Bambulab</t>
  </si>
  <si>
    <t xml:space="preserve">Paypal Käuferschutz </t>
  </si>
  <si>
    <t>2,29 % + 0,35</t>
  </si>
  <si>
    <t>strompreise</t>
  </si>
  <si>
    <t>in kWh</t>
  </si>
  <si>
    <t>T(3DDr) : kWh/H (3DDr) * strompreis/H</t>
  </si>
  <si>
    <t>Bambulab in kWh/H</t>
  </si>
  <si>
    <t>kWh</t>
  </si>
  <si>
    <t>laptop in Kwh/H</t>
  </si>
  <si>
    <t>kWH</t>
  </si>
  <si>
    <t>T(3DDe) : kWh/H (Lap.) * strompreis/H</t>
  </si>
  <si>
    <t>Sonstiges:</t>
  </si>
  <si>
    <t>3D Druck:</t>
  </si>
  <si>
    <t>ABS</t>
  </si>
  <si>
    <t>PA6-CF</t>
  </si>
  <si>
    <t>PAHT-CF</t>
  </si>
  <si>
    <t>M1:</t>
  </si>
  <si>
    <t>M1/g:</t>
  </si>
  <si>
    <t>ExA1:</t>
  </si>
  <si>
    <t>Ex1/St:</t>
  </si>
  <si>
    <t>R/Be:</t>
  </si>
  <si>
    <t>M2:</t>
  </si>
  <si>
    <t>M2/g:</t>
  </si>
  <si>
    <t>ExA2:</t>
  </si>
  <si>
    <t>Ex2/St:</t>
  </si>
  <si>
    <t>M3:</t>
  </si>
  <si>
    <t>M3/g:</t>
  </si>
  <si>
    <t>M4:</t>
  </si>
  <si>
    <t>M4/g:</t>
  </si>
  <si>
    <t>Material /€:</t>
  </si>
  <si>
    <t>M1/€:</t>
  </si>
  <si>
    <t>M2/€:</t>
  </si>
  <si>
    <t>M3/€:</t>
  </si>
  <si>
    <t>M4/€:</t>
  </si>
  <si>
    <t>Ex1/€:</t>
  </si>
  <si>
    <t>Ex2/€:</t>
  </si>
  <si>
    <t>Farbe:</t>
  </si>
  <si>
    <t>Material Nummer</t>
  </si>
  <si>
    <t xml:space="preserve">Material Art: </t>
  </si>
  <si>
    <t>Material Farbe:</t>
  </si>
  <si>
    <t>Blau</t>
  </si>
  <si>
    <t>Gelb</t>
  </si>
  <si>
    <t>Orange</t>
  </si>
  <si>
    <t>Lila</t>
  </si>
  <si>
    <t>Material Nummer:</t>
  </si>
  <si>
    <t>TPU</t>
  </si>
  <si>
    <t xml:space="preserve">Laptop: </t>
  </si>
  <si>
    <t xml:space="preserve">Babulab P1S: </t>
  </si>
  <si>
    <t>Monitor:</t>
  </si>
  <si>
    <t xml:space="preserve">Rechnung: </t>
  </si>
  <si>
    <t>T(Dr)*0,033</t>
  </si>
  <si>
    <t>3D Desinge:</t>
  </si>
  <si>
    <t>Rechnung:</t>
  </si>
  <si>
    <t>T(De)*11,00</t>
  </si>
  <si>
    <t>Strom</t>
  </si>
  <si>
    <t>Strom/€:</t>
  </si>
  <si>
    <t>In w</t>
  </si>
  <si>
    <t>Grün</t>
  </si>
  <si>
    <t>Firmer</t>
  </si>
  <si>
    <t>Bambulab:</t>
  </si>
  <si>
    <t>Redline:</t>
  </si>
  <si>
    <t>Schwarz:</t>
  </si>
  <si>
    <t>Weiß:</t>
  </si>
  <si>
    <t>Rot:</t>
  </si>
  <si>
    <t>Blau:</t>
  </si>
  <si>
    <t>Gelb:</t>
  </si>
  <si>
    <t>Grün:</t>
  </si>
  <si>
    <t>Orange:</t>
  </si>
  <si>
    <t>Lila:</t>
  </si>
  <si>
    <t>PLA:</t>
  </si>
  <si>
    <t>PETG:</t>
  </si>
  <si>
    <t>TPU:</t>
  </si>
  <si>
    <t>ASA:</t>
  </si>
  <si>
    <t>ABS:</t>
  </si>
  <si>
    <t>PETG (Matt):</t>
  </si>
  <si>
    <t>PLA (Matt):</t>
  </si>
  <si>
    <t>material nummer und 1,2,3…</t>
  </si>
  <si>
    <t>Material</t>
  </si>
  <si>
    <t>Besonders:</t>
  </si>
  <si>
    <t>Silber:</t>
  </si>
  <si>
    <t>PLA Sup</t>
  </si>
  <si>
    <t>PLA Sup.</t>
  </si>
  <si>
    <t>Eisen</t>
  </si>
  <si>
    <t>Nullwert</t>
  </si>
  <si>
    <t>"</t>
  </si>
  <si>
    <t>Materialnummern:</t>
  </si>
  <si>
    <t>Materialliste:</t>
  </si>
  <si>
    <t>Material lager kosten</t>
  </si>
  <si>
    <t>material preis + 10%</t>
  </si>
  <si>
    <t>RB/%:</t>
  </si>
  <si>
    <t>3D/min:</t>
  </si>
  <si>
    <t>3DE/H:</t>
  </si>
  <si>
    <t>Angebot:</t>
  </si>
  <si>
    <t>Berechnet:</t>
  </si>
  <si>
    <t>Bezahlt:</t>
  </si>
  <si>
    <t>Verarbeitet:</t>
  </si>
  <si>
    <t>Dropdown Stand:</t>
  </si>
  <si>
    <t>Dropdown Zahlungsart:</t>
  </si>
  <si>
    <t>PayPal</t>
  </si>
  <si>
    <t>Überweißung</t>
  </si>
  <si>
    <t>Rechnung</t>
  </si>
  <si>
    <t>Dropdown Bemerkung:</t>
  </si>
  <si>
    <t>3D Design</t>
  </si>
  <si>
    <t>3D Druck &amp; Design</t>
  </si>
  <si>
    <t>Lagerkosten/€:</t>
  </si>
  <si>
    <t>St3D/€:</t>
  </si>
  <si>
    <t>St3De/€:</t>
  </si>
  <si>
    <t>SoAu3D/€:</t>
  </si>
  <si>
    <t>SoAu3De/€:</t>
  </si>
  <si>
    <t>Verschleiß 3D/€:</t>
  </si>
  <si>
    <t>R/3D/€:</t>
  </si>
  <si>
    <t>R/3DE/€:</t>
  </si>
  <si>
    <t>Verkaufspreis/g/€:</t>
  </si>
  <si>
    <t>€/kwh</t>
  </si>
  <si>
    <t>€/H</t>
  </si>
  <si>
    <t>€/min</t>
  </si>
  <si>
    <t>3D Jake</t>
  </si>
  <si>
    <t>TPU A95</t>
  </si>
  <si>
    <t>PLA Matt</t>
  </si>
  <si>
    <t>BasicFil</t>
  </si>
  <si>
    <t>3D Jake:</t>
  </si>
  <si>
    <t>BasicFil:</t>
  </si>
  <si>
    <t>Kosten 3D druck in zeit:</t>
  </si>
  <si>
    <t>&gt;= 250</t>
  </si>
  <si>
    <t>zeit/min</t>
  </si>
  <si>
    <t>Per Kost/€:</t>
  </si>
  <si>
    <t>&lt;= 250/1000</t>
  </si>
  <si>
    <t>&lt;= 1000</t>
  </si>
  <si>
    <t>Dropdown Ausgaben art:</t>
  </si>
  <si>
    <t>Werbung</t>
  </si>
  <si>
    <t>Webseite</t>
  </si>
  <si>
    <t>Geräte</t>
  </si>
  <si>
    <t>Sonstiges</t>
  </si>
  <si>
    <t>Silikon</t>
  </si>
  <si>
    <t xml:space="preserve">                                     </t>
  </si>
  <si>
    <t xml:space="preserve">      </t>
  </si>
  <si>
    <t>SoAU 3D:</t>
  </si>
  <si>
    <t>Strom:</t>
  </si>
  <si>
    <t>per/Kosten 3D druck in zeit:</t>
  </si>
  <si>
    <t>T(De)*10,00</t>
  </si>
  <si>
    <t>Max:</t>
  </si>
  <si>
    <t>SoAu 3DE:</t>
  </si>
  <si>
    <t>Versand/€:</t>
  </si>
  <si>
    <t>Rabatt Betrag /€:</t>
  </si>
  <si>
    <t>Käuferschutz Rechnung/€:</t>
  </si>
  <si>
    <t>Käuferschutz:</t>
  </si>
  <si>
    <t>Spalte1</t>
  </si>
  <si>
    <t>Spalte2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</si>
</sst>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[$€-407]_-;\-* #,##0.00\ [$€-407]_-;_-* &quot;-&quot;??\ [$€-407]_-;_-@_-"/>
    <numFmt numFmtId="167" formatCode="_-* #,##0.000\ [$€-407]_-;\-* #,##0.000\ [$€-407]_-;_-* &quot;-&quot;??\ [$€-407]_-;_-@_-"/>
    <numFmt numFmtId="168" formatCode="00"/>
    <numFmt numFmtId="169" formatCode="000000"/>
    <numFmt numFmtId="170" formatCode="0.000"/>
    <numFmt numFmtId="171" formatCode="#,##0.00\ &quot;€&quot;"/>
    <numFmt numFmtId="172" formatCode="_-* #,##0.00000\ [$€-407]_-;\-* #,##0.00000\ [$€-407]_-;_-* &quot;-&quot;??\ [$€-407]_-;_-@_-"/>
    <numFmt numFmtId="173" formatCode="0.0000"/>
    <numFmt numFmtId="174" formatCode="_(* #,##0.000_);_(* \(#,##0.000\);_(* &quot;-&quot;??_);_(@_)"/>
    <numFmt numFmtId="175" formatCode="0.0%"/>
    <numFmt numFmtId="176" formatCode="_-* #,##0.0000\ [$€-407]_-;\-* #,##0.0000\ [$€-407]_-;_-* &quot;-&quot;??\ [$€-407]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ourier New"/>
      <family val="3"/>
    </font>
    <font>
      <sz val="10"/>
      <color rgb="FF9C0006"/>
      <name val="Courier New"/>
      <family val="3"/>
    </font>
    <font>
      <sz val="10"/>
      <color rgb="FF006100"/>
      <name val="Courier New"/>
      <family val="3"/>
    </font>
    <font>
      <sz val="10"/>
      <color rgb="FF9C5700"/>
      <name val="Courier New"/>
      <family val="3"/>
    </font>
    <font>
      <sz val="8"/>
      <color theme="1"/>
      <name val="Courier New"/>
      <family val="3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9C0006"/>
      <name val="Courier New"/>
      <family val="3"/>
    </font>
    <font>
      <sz val="11"/>
      <color rgb="FF006100"/>
      <name val="Courier New"/>
      <family val="3"/>
    </font>
    <font>
      <sz val="9"/>
      <color theme="1"/>
      <name val="Courier New"/>
      <family val="3"/>
    </font>
    <font>
      <u/>
      <sz val="11"/>
      <color theme="1"/>
      <name val="Courier New"/>
      <family val="3"/>
    </font>
    <font>
      <u/>
      <sz val="11"/>
      <color rgb="FF9C0006"/>
      <name val="Courier New"/>
      <family val="3"/>
    </font>
    <font>
      <sz val="11"/>
      <color theme="0"/>
      <name val="Courier New"/>
      <family val="3"/>
    </font>
    <font>
      <sz val="11"/>
      <color theme="5" tint="0.79998168889431442"/>
      <name val="Courier New"/>
      <family val="3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169" fontId="15" fillId="3" borderId="1"/>
    <xf numFmtId="169" fontId="14" fillId="4" borderId="1"/>
    <xf numFmtId="170" fontId="10" fillId="5" borderId="4"/>
  </cellStyleXfs>
  <cellXfs count="119">
    <xf numFmtId="0" fontId="0" fillId="0" borderId="0" xfId="0"/>
    <xf numFmtId="0" fontId="6" fillId="0" borderId="5" xfId="0" applyFont="1" applyBorder="1"/>
    <xf numFmtId="0" fontId="6" fillId="0" borderId="0" xfId="0" applyFont="1"/>
    <xf numFmtId="0" fontId="7" fillId="0" borderId="0" xfId="0" applyFont="1"/>
    <xf numFmtId="0" fontId="7" fillId="0" borderId="6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9" xfId="0" applyFont="1" applyBorder="1"/>
    <xf numFmtId="166" fontId="7" fillId="0" borderId="0" xfId="1" applyNumberFormat="1" applyFont="1"/>
    <xf numFmtId="170" fontId="7" fillId="0" borderId="0" xfId="0" applyNumberFormat="1" applyFont="1"/>
    <xf numFmtId="166" fontId="7" fillId="0" borderId="0" xfId="0" applyNumberFormat="1" applyFont="1"/>
    <xf numFmtId="167" fontId="7" fillId="0" borderId="0" xfId="0" applyNumberFormat="1" applyFont="1"/>
    <xf numFmtId="169" fontId="6" fillId="0" borderId="0" xfId="0" applyNumberFormat="1" applyFont="1"/>
    <xf numFmtId="172" fontId="7" fillId="0" borderId="0" xfId="0" applyNumberFormat="1" applyFont="1"/>
    <xf numFmtId="0" fontId="7" fillId="0" borderId="10" xfId="0" applyFont="1" applyBorder="1"/>
    <xf numFmtId="0" fontId="7" fillId="2" borderId="10" xfId="0" applyFont="1" applyFill="1" applyBorder="1"/>
    <xf numFmtId="0" fontId="7" fillId="6" borderId="10" xfId="0" applyFont="1" applyFill="1" applyBorder="1"/>
    <xf numFmtId="0" fontId="7" fillId="7" borderId="10" xfId="0" applyFont="1" applyFill="1" applyBorder="1"/>
    <xf numFmtId="0" fontId="7" fillId="8" borderId="10" xfId="0" applyFont="1" applyFill="1" applyBorder="1"/>
    <xf numFmtId="0" fontId="6" fillId="0" borderId="11" xfId="2" applyNumberFormat="1" applyFont="1" applyFill="1" applyBorder="1"/>
    <xf numFmtId="169" fontId="6" fillId="0" borderId="11" xfId="2" applyNumberFormat="1" applyFont="1" applyFill="1" applyBorder="1"/>
    <xf numFmtId="0" fontId="6" fillId="0" borderId="11" xfId="0" applyFont="1" applyBorder="1"/>
    <xf numFmtId="169" fontId="6" fillId="0" borderId="11" xfId="0" applyNumberFormat="1" applyFont="1" applyBorder="1"/>
    <xf numFmtId="166" fontId="9" fillId="3" borderId="5" xfId="4" applyNumberFormat="1" applyFont="1" applyBorder="1"/>
    <xf numFmtId="166" fontId="6" fillId="0" borderId="0" xfId="0" applyNumberFormat="1" applyFont="1"/>
    <xf numFmtId="170" fontId="6" fillId="0" borderId="0" xfId="0" applyNumberFormat="1" applyFont="1"/>
    <xf numFmtId="170" fontId="8" fillId="4" borderId="5" xfId="5" applyNumberFormat="1" applyFont="1" applyBorder="1"/>
    <xf numFmtId="2" fontId="7" fillId="0" borderId="0" xfId="0" applyNumberFormat="1" applyFont="1"/>
    <xf numFmtId="173" fontId="7" fillId="0" borderId="0" xfId="0" applyNumberFormat="1" applyFont="1"/>
    <xf numFmtId="0" fontId="6" fillId="0" borderId="0" xfId="0" applyFont="1" applyAlignment="1">
      <alignment horizontal="center"/>
    </xf>
    <xf numFmtId="169" fontId="14" fillId="0" borderId="0" xfId="0" applyNumberFormat="1" applyFont="1"/>
    <xf numFmtId="173" fontId="7" fillId="0" borderId="7" xfId="0" applyNumberFormat="1" applyFont="1" applyBorder="1"/>
    <xf numFmtId="0" fontId="17" fillId="0" borderId="0" xfId="0" applyFont="1"/>
    <xf numFmtId="173" fontId="17" fillId="0" borderId="0" xfId="0" applyNumberFormat="1" applyFont="1"/>
    <xf numFmtId="2" fontId="17" fillId="0" borderId="0" xfId="0" applyNumberFormat="1" applyFont="1"/>
    <xf numFmtId="169" fontId="18" fillId="0" borderId="0" xfId="0" applyNumberFormat="1" applyFont="1"/>
    <xf numFmtId="166" fontId="8" fillId="4" borderId="5" xfId="1" applyNumberFormat="1" applyFont="1" applyFill="1" applyBorder="1" applyAlignment="1"/>
    <xf numFmtId="166" fontId="7" fillId="0" borderId="0" xfId="1" applyNumberFormat="1" applyFont="1" applyAlignment="1"/>
    <xf numFmtId="166" fontId="8" fillId="4" borderId="5" xfId="1" applyNumberFormat="1" applyFont="1" applyFill="1" applyBorder="1" applyAlignment="1">
      <alignment horizontal="left"/>
    </xf>
    <xf numFmtId="171" fontId="7" fillId="0" borderId="0" xfId="1" applyNumberFormat="1" applyFont="1"/>
    <xf numFmtId="175" fontId="8" fillId="4" borderId="5" xfId="5" applyNumberFormat="1" applyFont="1" applyBorder="1"/>
    <xf numFmtId="175" fontId="7" fillId="0" borderId="0" xfId="0" applyNumberFormat="1" applyFont="1"/>
    <xf numFmtId="0" fontId="6" fillId="10" borderId="1" xfId="0" applyFont="1" applyFill="1" applyBorder="1"/>
    <xf numFmtId="170" fontId="6" fillId="10" borderId="1" xfId="0" applyNumberFormat="1" applyFont="1" applyFill="1" applyBorder="1"/>
    <xf numFmtId="166" fontId="6" fillId="10" borderId="1" xfId="0" applyNumberFormat="1" applyFont="1" applyFill="1" applyBorder="1"/>
    <xf numFmtId="166" fontId="6" fillId="10" borderId="1" xfId="1" applyNumberFormat="1" applyFont="1" applyFill="1" applyBorder="1"/>
    <xf numFmtId="175" fontId="6" fillId="10" borderId="1" xfId="0" applyNumberFormat="1" applyFont="1" applyFill="1" applyBorder="1"/>
    <xf numFmtId="166" fontId="6" fillId="10" borderId="1" xfId="1" applyNumberFormat="1" applyFont="1" applyFill="1" applyBorder="1" applyAlignment="1"/>
    <xf numFmtId="0" fontId="19" fillId="0" borderId="0" xfId="0" applyFont="1"/>
    <xf numFmtId="170" fontId="19" fillId="0" borderId="0" xfId="0" applyNumberFormat="1" applyFont="1"/>
    <xf numFmtId="174" fontId="19" fillId="0" borderId="0" xfId="3" applyNumberFormat="1" applyFont="1" applyFill="1" applyBorder="1"/>
    <xf numFmtId="166" fontId="19" fillId="0" borderId="0" xfId="0" applyNumberFormat="1" applyFont="1"/>
    <xf numFmtId="164" fontId="19" fillId="0" borderId="0" xfId="3" applyFont="1" applyFill="1" applyBorder="1"/>
    <xf numFmtId="176" fontId="19" fillId="0" borderId="0" xfId="0" applyNumberFormat="1" applyFont="1"/>
    <xf numFmtId="175" fontId="19" fillId="0" borderId="0" xfId="4" applyNumberFormat="1" applyFont="1" applyFill="1" applyBorder="1"/>
    <xf numFmtId="10" fontId="19" fillId="0" borderId="0" xfId="4" applyNumberFormat="1" applyFont="1" applyFill="1" applyBorder="1"/>
    <xf numFmtId="2" fontId="19" fillId="0" borderId="0" xfId="4" applyNumberFormat="1" applyFont="1" applyFill="1" applyBorder="1"/>
    <xf numFmtId="170" fontId="19" fillId="0" borderId="0" xfId="4" applyNumberFormat="1" applyFont="1" applyFill="1" applyBorder="1"/>
    <xf numFmtId="167" fontId="19" fillId="0" borderId="0" xfId="0" applyNumberFormat="1" applyFont="1"/>
    <xf numFmtId="0" fontId="19" fillId="0" borderId="0" xfId="4" applyFont="1" applyFill="1" applyBorder="1"/>
    <xf numFmtId="166" fontId="19" fillId="0" borderId="0" xfId="1" applyNumberFormat="1" applyFont="1" applyFill="1" applyBorder="1"/>
    <xf numFmtId="169" fontId="14" fillId="9" borderId="2" xfId="0" applyNumberFormat="1" applyFont="1" applyFill="1" applyBorder="1"/>
    <xf numFmtId="2" fontId="19" fillId="11" borderId="0" xfId="0" applyNumberFormat="1" applyFont="1" applyFill="1"/>
    <xf numFmtId="173" fontId="19" fillId="11" borderId="0" xfId="0" applyNumberFormat="1" applyFont="1" applyFill="1"/>
    <xf numFmtId="0" fontId="6" fillId="10" borderId="0" xfId="0" applyFont="1" applyFill="1"/>
    <xf numFmtId="169" fontId="6" fillId="10" borderId="0" xfId="0" applyNumberFormat="1" applyFont="1" applyFill="1"/>
    <xf numFmtId="170" fontId="10" fillId="5" borderId="11" xfId="6" applyNumberFormat="1" applyFont="1" applyBorder="1"/>
    <xf numFmtId="170" fontId="8" fillId="4" borderId="11" xfId="5" applyNumberFormat="1" applyFont="1" applyBorder="1"/>
    <xf numFmtId="170" fontId="9" fillId="3" borderId="11" xfId="4" applyNumberFormat="1" applyFont="1" applyBorder="1"/>
    <xf numFmtId="0" fontId="9" fillId="3" borderId="11" xfId="4" applyFont="1" applyBorder="1"/>
    <xf numFmtId="170" fontId="8" fillId="4" borderId="13" xfId="5" applyNumberFormat="1" applyFont="1" applyBorder="1"/>
    <xf numFmtId="170" fontId="10" fillId="5" borderId="12" xfId="6" applyNumberFormat="1" applyFont="1" applyBorder="1"/>
    <xf numFmtId="170" fontId="10" fillId="5" borderId="12" xfId="9" applyBorder="1"/>
    <xf numFmtId="170" fontId="16" fillId="12" borderId="0" xfId="0" applyNumberFormat="1" applyFont="1" applyFill="1"/>
    <xf numFmtId="170" fontId="11" fillId="12" borderId="0" xfId="0" applyNumberFormat="1" applyFont="1" applyFill="1"/>
    <xf numFmtId="170" fontId="6" fillId="12" borderId="0" xfId="0" applyNumberFormat="1" applyFont="1" applyFill="1"/>
    <xf numFmtId="170" fontId="6" fillId="12" borderId="0" xfId="1" applyNumberFormat="1" applyFont="1" applyFill="1" applyBorder="1"/>
    <xf numFmtId="171" fontId="6" fillId="12" borderId="0" xfId="0" applyNumberFormat="1" applyFont="1" applyFill="1"/>
    <xf numFmtId="0" fontId="6" fillId="13" borderId="0" xfId="0" applyFont="1" applyFill="1"/>
    <xf numFmtId="169" fontId="6" fillId="13" borderId="0" xfId="0" applyNumberFormat="1" applyFont="1" applyFill="1"/>
    <xf numFmtId="175" fontId="6" fillId="13" borderId="1" xfId="0" applyNumberFormat="1" applyFont="1" applyFill="1" applyBorder="1"/>
    <xf numFmtId="175" fontId="6" fillId="13" borderId="7" xfId="0" applyNumberFormat="1" applyFont="1" applyFill="1" applyBorder="1"/>
    <xf numFmtId="166" fontId="6" fillId="13" borderId="1" xfId="1" applyNumberFormat="1" applyFont="1" applyFill="1" applyBorder="1" applyAlignment="1"/>
    <xf numFmtId="166" fontId="6" fillId="13" borderId="7" xfId="1" applyNumberFormat="1" applyFont="1" applyFill="1" applyBorder="1" applyAlignment="1"/>
    <xf numFmtId="0" fontId="6" fillId="13" borderId="1" xfId="0" applyFont="1" applyFill="1" applyBorder="1"/>
    <xf numFmtId="166" fontId="6" fillId="12" borderId="1" xfId="0" applyNumberFormat="1" applyFont="1" applyFill="1" applyBorder="1"/>
    <xf numFmtId="166" fontId="6" fillId="12" borderId="1" xfId="1" applyNumberFormat="1" applyFont="1" applyFill="1" applyBorder="1"/>
    <xf numFmtId="170" fontId="6" fillId="12" borderId="1" xfId="0" applyNumberFormat="1" applyFont="1" applyFill="1" applyBorder="1"/>
    <xf numFmtId="2" fontId="20" fillId="12" borderId="0" xfId="1" applyNumberFormat="1" applyFont="1" applyFill="1" applyBorder="1"/>
    <xf numFmtId="173" fontId="20" fillId="12" borderId="0" xfId="0" applyNumberFormat="1" applyFont="1" applyFill="1"/>
    <xf numFmtId="2" fontId="20" fillId="12" borderId="0" xfId="0" applyNumberFormat="1" applyFont="1" applyFill="1"/>
    <xf numFmtId="0" fontId="20" fillId="12" borderId="0" xfId="0" applyFont="1" applyFill="1"/>
    <xf numFmtId="0" fontId="7" fillId="12" borderId="0" xfId="0" applyFont="1" applyFill="1"/>
    <xf numFmtId="168" fontId="7" fillId="12" borderId="0" xfId="3" applyNumberFormat="1" applyFont="1" applyFill="1"/>
    <xf numFmtId="168" fontId="7" fillId="12" borderId="0" xfId="0" applyNumberFormat="1" applyFont="1" applyFill="1"/>
    <xf numFmtId="0" fontId="7" fillId="0" borderId="15" xfId="0" applyFont="1" applyBorder="1"/>
    <xf numFmtId="0" fontId="7" fillId="0" borderId="14" xfId="0" applyFont="1" applyBorder="1"/>
    <xf numFmtId="0" fontId="7" fillId="0" borderId="16" xfId="0" applyFont="1" applyBorder="1"/>
    <xf numFmtId="169" fontId="7" fillId="12" borderId="0" xfId="0" applyNumberFormat="1" applyFont="1" applyFill="1"/>
    <xf numFmtId="2" fontId="7" fillId="12" borderId="0" xfId="0" applyNumberFormat="1" applyFont="1" applyFill="1"/>
    <xf numFmtId="169" fontId="14" fillId="4" borderId="2" xfId="5" applyNumberFormat="1" applyFont="1" applyBorder="1"/>
    <xf numFmtId="169" fontId="15" fillId="3" borderId="2" xfId="4" applyNumberFormat="1" applyFont="1" applyBorder="1"/>
    <xf numFmtId="169" fontId="7" fillId="9" borderId="2" xfId="0" applyNumberFormat="1" applyFont="1" applyFill="1" applyBorder="1"/>
    <xf numFmtId="169" fontId="15" fillId="3" borderId="2" xfId="7" applyBorder="1"/>
    <xf numFmtId="169" fontId="14" fillId="4" borderId="2" xfId="8" applyBorder="1"/>
    <xf numFmtId="169" fontId="14" fillId="3" borderId="2" xfId="4" applyNumberFormat="1" applyFont="1" applyBorder="1"/>
    <xf numFmtId="169" fontId="14" fillId="3" borderId="2" xfId="4" applyNumberFormat="1" applyFont="1" applyBorder="1" applyAlignment="1">
      <alignment horizontal="right"/>
    </xf>
    <xf numFmtId="169" fontId="14" fillId="3" borderId="2" xfId="7" applyFont="1" applyBorder="1"/>
    <xf numFmtId="169" fontId="14" fillId="4" borderId="2" xfId="5" applyNumberFormat="1" applyFont="1" applyBorder="1" applyAlignment="1">
      <alignment horizontal="right"/>
    </xf>
    <xf numFmtId="169" fontId="14" fillId="0" borderId="2" xfId="0" applyNumberFormat="1" applyFont="1" applyBorder="1"/>
    <xf numFmtId="169" fontId="14" fillId="3" borderId="9" xfId="4" applyNumberFormat="1" applyFont="1" applyBorder="1"/>
    <xf numFmtId="169" fontId="14" fillId="0" borderId="9" xfId="0" applyNumberFormat="1" applyFont="1" applyBorder="1"/>
    <xf numFmtId="173" fontId="7" fillId="12" borderId="0" xfId="0" applyNumberFormat="1" applyFont="1" applyFill="1"/>
    <xf numFmtId="169" fontId="14" fillId="12" borderId="0" xfId="0" applyNumberFormat="1" applyFont="1" applyFill="1"/>
    <xf numFmtId="0" fontId="6" fillId="0" borderId="0" xfId="0" applyFont="1" applyAlignment="1">
      <alignment horizontal="center"/>
    </xf>
  </cellXfs>
  <cellStyles count="10">
    <cellStyle name="GEL" xfId="9" xr:uid="{EFC3E80F-4AF3-4479-BA9B-20E86BBF014D}"/>
    <cellStyle name="gr" xfId="7" xr:uid="{AF35C7C0-6D6B-4E7D-AD25-86CEFE0075A1}"/>
    <cellStyle name="Gut" xfId="4" builtinId="26"/>
    <cellStyle name="Komma" xfId="3" builtinId="3"/>
    <cellStyle name="Neutral" xfId="6" builtinId="28"/>
    <cellStyle name="Prozent" xfId="2" builtinId="5"/>
    <cellStyle name="ro" xfId="8" xr:uid="{43600D74-EC4C-4271-968A-7D424C1FB9C6}"/>
    <cellStyle name="Schlecht" xfId="5" builtinId="27"/>
    <cellStyle name="Standard" xfId="0" builtinId="0"/>
    <cellStyle name="Währung" xfId="1" builtinId="4"/>
  </cellStyles>
  <dxfs count="87">
    <dxf>
      <font>
        <strike val="0"/>
        <color theme="1"/>
      </font>
      <numFmt numFmtId="34" formatCode="_-* #,##0.00\ &quot;€&quot;_-;\-* #,##0.00\ &quot;€&quot;_-;_-* &quot;-&quot;??\ &quot;€&quot;_-;_-@_-"/>
      <fill>
        <patternFill patternType="solid">
          <bgColor rgb="FFFCA2A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  <numFmt numFmtId="173" formatCode="0.0000"/>
      <fill>
        <patternFill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ourier New"/>
        <family val="3"/>
        <scheme val="none"/>
      </font>
      <numFmt numFmtId="169" formatCode="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3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5" tint="0.79998168889431442"/>
        <name val="Courier New"/>
        <family val="3"/>
        <scheme val="none"/>
      </font>
      <numFmt numFmtId="173" formatCode="0.0000"/>
      <fill>
        <patternFill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0.79998168889431442"/>
        <name val="Courier New"/>
        <family val="3"/>
        <scheme val="none"/>
      </font>
      <numFmt numFmtId="2" formatCode="0.00"/>
      <fill>
        <patternFill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  <fill>
        <patternFill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  <fill>
        <patternFill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  <fill>
        <patternFill>
          <fgColor indexed="64"/>
          <bgColor theme="5" tint="0.79998168889431442"/>
        </patternFill>
      </fill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  <fill>
        <patternFill>
          <fgColor indexed="64"/>
          <bgColor theme="5" tint="0.79998168889431442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  <numFmt numFmtId="2" formatCode="0.00"/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  <numFmt numFmtId="169" formatCode="000000"/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  <fill>
        <patternFill patternType="solid">
          <fgColor indexed="64"/>
          <bgColor theme="5" tint="0.79998168889431442"/>
        </patternFill>
      </fill>
    </dxf>
    <dxf>
      <border>
        <top style="thin">
          <color theme="2" tint="-0.249977111117893"/>
        </top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  <fill>
        <patternFill patternType="solid">
          <fgColor indexed="64"/>
          <bgColor theme="5" tint="0.79998168889431442"/>
        </patternFill>
      </fill>
    </dxf>
    <dxf>
      <border>
        <bottom style="thin">
          <color theme="2" tint="-0.249977111117893"/>
        </bottom>
      </border>
    </dxf>
    <dxf>
      <font>
        <strike val="0"/>
        <outline val="0"/>
        <shadow val="0"/>
        <u val="none"/>
        <vertAlign val="baseline"/>
        <sz val="11"/>
        <name val="Courier New"/>
        <family val="3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2" tint="-0.249977111117893"/>
        </left>
        <right style="thin">
          <color theme="2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66" formatCode="_-* #,##0.00\ [$€-407]_-;\-* #,##0.00\ [$€-407]_-;_-* &quot;-&quot;??\ [$€-407]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5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66" formatCode="_-* #,##0.00\ [$€-407]_-;\-* #,##0.00\ [$€-407]_-;_-* &quot;-&quot;??\ [$€-407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66" formatCode="_-* #,##0.00\ [$€-407]_-;\-* #,##0.00\ [$€-407]_-;_-* &quot;-&quot;??\ [$€-407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ourier New"/>
        <family val="3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66" formatCode="_-* #,##0.00\ [$€-407]_-;\-* #,##0.00\ [$€-407]_-;_-* &quot;-&quot;??\ [$€-407]_-;_-@_-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urier New"/>
        <family val="3"/>
        <scheme val="none"/>
      </font>
      <fill>
        <patternFill patternType="none">
          <fgColor indexed="64"/>
          <bgColor theme="5" tint="0.79998168889431442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ourier New"/>
        <family val="3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1" formatCode="#,##0.00\ &quot;€&quot;"/>
      <fill>
        <patternFill patternType="none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70" formatCode="0.000"/>
      <fill>
        <patternFill patternType="none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69" formatCode="0000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69" formatCode="0000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69" formatCode="0000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69" formatCode="0000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numFmt numFmtId="169" formatCode="0000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ourier New"/>
        <family val="3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 xr9:uid="{85FB0A90-6D23-4253-B879-37909E8ADD80}"/>
  </tableStyles>
  <colors>
    <mruColors>
      <color rgb="FFFCA2A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93461F-88C8-4BF6-B686-BDE7E9F72FD2}" name="Tabelle58" displayName="Tabelle58" ref="A1:U10" totalsRowShown="0" headerRowDxfId="86" dataDxfId="84" headerRowBorderDxfId="85" tableBorderDxfId="83" totalsRowBorderDxfId="82">
  <autoFilter ref="A1:U10" xr:uid="{868DF722-BAA7-47DA-AF75-EAE2B4537767}"/>
  <tableColumns count="21">
    <tableColumn id="4" xr3:uid="{A227519B-F735-4FBC-8A90-C86839A6F5A1}" name="3D/min:" dataDxfId="81"/>
    <tableColumn id="26" xr3:uid="{7C32A946-3351-4BAD-BAB5-69D2146AE03A}" name="3DE/H:" dataDxfId="80"/>
    <tableColumn id="5" xr3:uid="{7141B6B1-99A1-4D18-87C4-D1CDA794D36B}" name="M1:" dataDxfId="79"/>
    <tableColumn id="6" xr3:uid="{71F943FE-9A13-4764-AAF0-E9029D590020}" name="M1/g:" dataDxfId="78"/>
    <tableColumn id="7" xr3:uid="{47B6AC51-B359-47EF-A3CE-4DCF4A359C8A}" name="M2:" dataDxfId="77"/>
    <tableColumn id="8" xr3:uid="{7B97D8D4-F19B-46C4-A512-C86E6302C290}" name="M2/g:" dataDxfId="76"/>
    <tableColumn id="9" xr3:uid="{913F5C58-2AF6-4F0B-8876-B673944CBF21}" name="M3:" dataDxfId="75"/>
    <tableColumn id="10" xr3:uid="{621121F6-6BD8-4D6B-BEF7-6189F0593ED8}" name="M3/g:" dataDxfId="74"/>
    <tableColumn id="11" xr3:uid="{49CB3475-E4D2-472E-84FF-C4D0B8CC7FDE}" name="M4:" dataDxfId="73"/>
    <tableColumn id="12" xr3:uid="{FBBA920A-153D-4711-AE1F-AAF817275147}" name="M4/g:" dataDxfId="72"/>
    <tableColumn id="13" xr3:uid="{5E454754-D20E-49AD-88EA-A194FE955C71}" name="ExA1:" dataDxfId="71"/>
    <tableColumn id="14" xr3:uid="{70BB50AC-8F89-4FC7-AED7-6C39009F1242}" name="Ex1/St:" dataDxfId="70"/>
    <tableColumn id="15" xr3:uid="{09AC3243-F0D7-48A9-81D0-82B7A395A1D8}" name="ExA2:" dataDxfId="69"/>
    <tableColumn id="16" xr3:uid="{9CB3FF26-BB9B-468F-AE5D-357683BBF3F7}" name="Ex2/St:" dataDxfId="68"/>
    <tableColumn id="17" xr3:uid="{67279B9A-9D99-40BD-8C93-D30C0795EC28}" name="Strom/€:" dataDxfId="67">
      <calculatedColumnFormula>(#REF!+#REF!)</calculatedColumnFormula>
    </tableColumn>
    <tableColumn id="18" xr3:uid="{AD9FC14F-2822-4292-A45D-4FF133644887}" name="Material /€:" dataDxfId="66">
      <calculatedColumnFormula>SUM(#REF!)</calculatedColumnFormula>
    </tableColumn>
    <tableColumn id="27" xr3:uid="{61F81D62-9418-426F-887B-F0690E0929CD}" name="Extras/€:" dataDxfId="65">
      <calculatedColumnFormula>SUM(#REF!)</calculatedColumnFormula>
    </tableColumn>
    <tableColumn id="19" xr3:uid="{538088FA-DEA8-4612-B8E1-4C2077C3A172}" name="Verschleiß 3D/€:" dataDxfId="64">
      <calculatedColumnFormula>(Tabelle58[[#This Row],[3D/min:]]*0.25%)</calculatedColumnFormula>
    </tableColumn>
    <tableColumn id="20" xr3:uid="{DF56AD0D-B5EF-4815-BF1B-AEBBE21ACA5D}" name="R/3D/€:" dataDxfId="63">
      <calculatedColumnFormula>(A2*Preis_3DD)+#REF!+Tabelle211[[#This Row],[Per Kost/€:]]</calculatedColumnFormula>
    </tableColumn>
    <tableColumn id="21" xr3:uid="{C7AB5A04-86BA-4D88-AD4E-05A31BC0EC91}" name="R/3DE/€:" dataDxfId="62">
      <calculatedColumnFormula>(B2*Preis_GW_3DD)</calculatedColumnFormula>
    </tableColumn>
    <tableColumn id="22" xr3:uid="{487553DC-9823-40BE-81FC-1876AA54D69B}" name="R/Be:" dataDxfId="61">
      <calculatedColumnFormula>ROUND(SUM(Tabelle58[[#This Row],[Material /€:]:[R/3DE/€:]]),2)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4E03E6C-1596-4DAA-A3FB-3B8A42ABEF78}" name="Tabelle211" displayName="Tabelle211" ref="W1:AH10" totalsRowShown="0" headerRowDxfId="60" dataDxfId="58" headerRowBorderDxfId="59" tableBorderDxfId="57" totalsRowBorderDxfId="56" headerRowCellStyle="Neutral">
  <autoFilter ref="W1:AH10" xr:uid="{AE50D25D-4980-43F2-8498-B394C7B74535}"/>
  <tableColumns count="12">
    <tableColumn id="1" xr3:uid="{1F8620E3-617B-4D4E-9720-EC0F0AF84B22}" name="M1/€:" dataDxfId="55">
      <calculatedColumnFormula>VLOOKUP(Tabelle58[[#This Row],[M1:]],Tabelle102527[],2,0)*Tabelle58[[#This Row],[M1/g:]]</calculatedColumnFormula>
    </tableColumn>
    <tableColumn id="2" xr3:uid="{DFDF699B-9A2A-4FFF-ADA9-EB1CA21CEC1F}" name="M2/€:" dataDxfId="54">
      <calculatedColumnFormula>VLOOKUP(Tabelle58[[#This Row],[M2:]],Tabelle102527[],2,0)*Tabelle58[[#This Row],[M2/g:]]</calculatedColumnFormula>
    </tableColumn>
    <tableColumn id="3" xr3:uid="{BA5DDB89-EA08-40DA-A992-DD271A3409FC}" name="M3/€:" dataDxfId="53">
      <calculatedColumnFormula>VLOOKUP(Tabelle58[[#This Row],[M3:]],Tabelle102527[],2,0)*Tabelle58[[#This Row],[M3/g:]]</calculatedColumnFormula>
    </tableColumn>
    <tableColumn id="4" xr3:uid="{09BF2337-74E8-4173-AE8E-93C49E9066EC}" name="M4/€:" dataDxfId="52">
      <calculatedColumnFormula>VLOOKUP(Tabelle58[[#This Row],[M4:]],Tabelle102527[],2,0)*Tabelle58[[#This Row],[M4/g:]]</calculatedColumnFormula>
    </tableColumn>
    <tableColumn id="5" xr3:uid="{D560024F-AE45-4E89-96ED-779D12C7256B}" name="Ex1/€:" dataDxfId="51">
      <calculatedColumnFormula>VLOOKUP(Tabelle58[[#This Row],[ExA1:]],Tabelle9[[Material Nummer:]:[Preis/St]],2,0)*Tabelle58[[#This Row],[Ex1/St:]]</calculatedColumnFormula>
    </tableColumn>
    <tableColumn id="6" xr3:uid="{711C1C34-AAF2-4201-B07A-0EFF416616B3}" name="Ex2/€:" dataDxfId="50">
      <calculatedColumnFormula>VLOOKUP(Tabelle58[[#This Row],[ExA2:]],Tabelle9[[Material Nummer:]:[Preis/St]],2,0)*Tabelle58[[#This Row],[Ex2/St:]]</calculatedColumnFormula>
    </tableColumn>
    <tableColumn id="7" xr3:uid="{3BF3F129-0340-49EC-9514-BA3C8EEF88F2}" name="St3D/€:" dataDxfId="49">
      <calculatedColumnFormula>(#REF!/60*_BLP1pkwh)*_StP€kWh</calculatedColumnFormula>
    </tableColumn>
    <tableColumn id="8" xr3:uid="{B7ADF07F-83D2-4875-BEEC-811723FF9EE5}" name="St3De/€:" dataDxfId="48">
      <calculatedColumnFormula>(#REF!*_OFgeskWh)*_StP€kWh</calculatedColumnFormula>
    </tableColumn>
    <tableColumn id="9" xr3:uid="{EAA8FC92-7478-478A-8153-9872144EDD7F}" name="SoAu3D/€:" dataDxfId="47">
      <calculatedColumnFormula>(#REF!*_€_min)-(#REF!*GW_3D)</calculatedColumnFormula>
    </tableColumn>
    <tableColumn id="10" xr3:uid="{ACF6F814-6A2E-4747-9DCB-BD52A70A4753}" name="SoAu3De/€:" dataDxfId="46">
      <calculatedColumnFormula>(#REF!*Preis_GW_3DD)-(#REF!*Gewinn_3DD)</calculatedColumnFormula>
    </tableColumn>
    <tableColumn id="11" xr3:uid="{ED0BE226-8093-498F-B9FE-5B27F6A7E3A8}" name="Lagerkosten/€:" dataDxfId="45">
      <calculatedColumnFormula>(SUM(W2:AB2)/100*10)</calculatedColumnFormula>
    </tableColumn>
    <tableColumn id="13" xr3:uid="{A48F6353-3391-4D6C-BCBF-5A11E2D021E6}" name="Per Kost/€:" dataDxfId="44">
      <calculatedColumnFormula>IF(Tabelle58[[#This Row],[3D/min:]]&lt;=250,0.033,IF(Tabelle58[[#This Row],[3D/min:]]&lt;=1250,Tabelle58[[#This Row],[3D/min:]]*0.0165,Tabelle58[[#This Row],[3D/min:]]*0.00825))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8F597E3-4A40-45D2-9A7E-CE7ED40557F3}" name="Tabelle6" displayName="Tabelle6" ref="A1:F10" totalsRowShown="0" headerRowDxfId="43" dataDxfId="41" headerRowBorderDxfId="42" tableBorderDxfId="40" totalsRowBorderDxfId="39">
  <autoFilter ref="A1:F10" xr:uid="{E8F597E3-4A40-45D2-9A7E-CE7ED40557F3}"/>
  <tableColumns count="6">
    <tableColumn id="6" xr3:uid="{F6351E79-23E1-42E6-B045-0DD9385FB419}" name="Rechnungsbetrag:" dataDxfId="38">
      <calculatedColumnFormula>ROUND((#REF!+Tabelle6[[#This Row],[Käuferschutz Rechnung/€:]]+Tabelle6[[#This Row],[Versand/€:]])-Tabelle6[[#This Row],[Rabatt Betrag /€:]],2)</calculatedColumnFormula>
    </tableColumn>
    <tableColumn id="7" xr3:uid="{5CBD62ED-0D34-4781-8E8A-E1283D8CC648}" name="Käuferschutz:" dataDxfId="37">
      <calculatedColumnFormula array="1">IF(JA,C2*2.29+0.35,"=0")</calculatedColumnFormula>
    </tableColumn>
    <tableColumn id="8" xr3:uid="{BB96513B-D011-44A6-A52C-ADACBF1773AA}" name="Käuferschutz Rechnung/€:" dataDxfId="36" dataCellStyle="Währung">
      <calculatedColumnFormula>IF(B2=1,(Tabelle58[[#This Row],[R/Be:]]+Tabelle6[[#This Row],[Versand/€:]])*2.29%+0.35,0)</calculatedColumnFormula>
    </tableColumn>
    <tableColumn id="16" xr3:uid="{82DD38EE-A440-4F31-B46C-BA9B9ABB3AAB}" name="RB/%:" dataDxfId="35"/>
    <tableColumn id="17" xr3:uid="{47A8369D-0CB4-4578-A929-C097D5509830}" name="Rabatt Betrag /€:" dataDxfId="34">
      <calculatedColumnFormula>(Tabelle58[[#This Row],[R/Be:]]+Tabelle6[[#This Row],[Käuferschutz Rechnung/€:]]+Tabelle6[[#This Row],[Versand/€:]])*Tabelle6[[#This Row],[RB/%:]]</calculatedColumnFormula>
    </tableColumn>
    <tableColumn id="11" xr3:uid="{984E47E4-28F9-4D49-ADAC-6A006C095682}" name="Versand/€:" dataDxfId="3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85B36E-0F43-4105-A663-207702FEA631}" name="Tabelle9" displayName="Tabelle9" ref="I1:K12" totalsRowShown="0" headerRowDxfId="32" dataDxfId="30" headerRowBorderDxfId="31" tableBorderDxfId="29" totalsRowBorderDxfId="28">
  <autoFilter ref="I1:K12" xr:uid="{9085B36E-0F43-4105-A663-207702FEA631}"/>
  <tableColumns count="3">
    <tableColumn id="1" xr3:uid="{9F3D2DAC-C720-48AF-B9D9-42C32A09CF42}" name="Extra art:" dataDxfId="27"/>
    <tableColumn id="3" xr3:uid="{9A7FC444-4E3E-44DE-8AF8-C42E5FD39056}" name="Material Nummer:" dataDxfId="26"/>
    <tableColumn id="2" xr3:uid="{C8DAC3AD-62B9-4396-9D57-C72331F44D76}" name="Preis/St" dataDxfId="25"/>
  </tableColumns>
  <tableStyleInfo name="TableStyleMedium2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BEF610E-AE15-4999-B914-5E866E136E34}" name="Tabelle42326" displayName="Tabelle42326" ref="C1:G67" totalsRowShown="0" headerRowDxfId="24" dataDxfId="22" headerRowBorderDxfId="23" tableBorderDxfId="21" totalsRowBorderDxfId="20">
  <autoFilter ref="C1:G67" xr:uid="{CBEF610E-AE15-4999-B914-5E866E136E34}"/>
  <tableColumns count="5">
    <tableColumn id="1" xr3:uid="{B999656C-1908-47C0-A1EE-8870FC4C96E2}" name="Hersteller:" dataDxfId="19"/>
    <tableColumn id="2" xr3:uid="{328FBAAA-D4BE-4A2C-A63A-F915F20F6DC7}" name="Material:" dataDxfId="18"/>
    <tableColumn id="3" xr3:uid="{9ADF0C1F-0FE7-457D-B32B-51184EB3D4A6}" name="Farbe:" dataDxfId="17"/>
    <tableColumn id="6" xr3:uid="{72634B56-041B-4A79-9109-1884C3B44D8C}" name="Spalte1" dataDxfId="16"/>
    <tableColumn id="5" xr3:uid="{A842F212-2E78-4F71-94B3-84C1644494BF}" name="Spalte2" dataDxfId="15">
      <calculatedColumnFormula>F2/1000</calculatedColumnFormula>
    </tableColumn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63D429D-97F5-43F1-B459-D4639F38C044}" name="Tabelle102527" displayName="Tabelle102527" ref="A1:B67" totalsRowShown="0" headerRowDxfId="14" dataDxfId="12" headerRowBorderDxfId="13" tableBorderDxfId="11" totalsRowBorderDxfId="10">
  <autoFilter ref="A1:B67" xr:uid="{D63D429D-97F5-43F1-B459-D4639F38C044}"/>
  <tableColumns count="2">
    <tableColumn id="1" xr3:uid="{D5FA1634-315C-48BC-AA10-D4D885BC7D8C}" name="Material Nummer:" dataDxfId="9"/>
    <tableColumn id="2" xr3:uid="{2C49D080-BC3E-4AC5-99DA-10C7307A613C}" name="Verkaufspreis/g/€:" dataDxfId="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BEDF964-6589-45C0-B88D-538B5394FACF}" name="Tabelle11" displayName="Tabelle11" ref="A1:B48" totalsRowShown="0" headerRowDxfId="7" dataDxfId="5" headerRowBorderDxfId="6" tableBorderDxfId="4" totalsRowBorderDxfId="3">
  <autoFilter ref="A1:B48" xr:uid="{9BEDF964-6589-45C0-B88D-538B5394FACF}"/>
  <tableColumns count="2">
    <tableColumn id="1" xr3:uid="{7D6A46BD-D7D4-498F-B660-9C626410626D}" name="Materialliste:" dataDxfId="2">
      <calculatedColumnFormula>Preistabelle!C3 &amp; Preistabelle!D3 &amp; Preistabelle!E3</calculatedColumnFormula>
    </tableColumn>
    <tableColumn id="2" xr3:uid="{78BA9CE1-9117-4F3A-9E7D-B6FAB66FC9DF}" name="Materialnummern:" dataDxfId="1">
      <calculatedColumnFormula>Preistabelle!A3</calculatedColumnFormula>
    </tableColumn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" dT="2024-01-04T18:59:21.09" personId="{00000000-0000-0000-0000-000000000000}" id="{6A788355-4DE6-426D-8B32-714EAA112B49}">
    <text>Stromkosten gesamt von 3D Druck und Desinge</text>
  </threadedComment>
  <threadedComment ref="P1" dT="2024-01-03T16:07:28.90" personId="{00000000-0000-0000-0000-000000000000}" id="{FF7C770B-16BF-4375-A243-0F31902473E7}">
    <text>Material /€ = Material Kosten Ingesamt</text>
  </threadedComment>
  <threadedComment ref="Q1" dT="2024-01-04T20:03:50.65" personId="{00000000-0000-0000-0000-000000000000}" id="{2D00D5DD-72D9-463A-A409-54E6C5F0B75F}">
    <text>Extras/€ = Extras Kosten Ingesamt</text>
  </threadedComment>
  <threadedComment ref="AC1" dT="2024-01-06T21:20:36.50" personId="{00000000-0000-0000-0000-000000000000}" id="{FAFCC3B1-3716-4628-A039-30094BB35F15}">
    <text>St3D/ =Stromkosten 3D Druck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9415-552C-40A0-9B58-96BD871AB847}">
  <dimension ref="A1:AJ10"/>
  <sheetViews>
    <sheetView tabSelected="1" zoomScaleNormal="100" workbookViewId="0">
      <pane ySplit="1" topLeftCell="A2" activePane="bottomLeft" state="frozen"/>
      <selection activeCell="P1" sqref="P1"/>
      <selection pane="bottomLeft" activeCell="K18" sqref="K18"/>
    </sheetView>
  </sheetViews>
  <sheetFormatPr baseColWidth="10" defaultColWidth="11.42578125" defaultRowHeight="13.5" x14ac:dyDescent="0.25"/>
  <cols>
    <col min="1" max="2" width="11.42578125" style="2"/>
    <col min="3" max="3" width="7.7109375" style="16" customWidth="1"/>
    <col min="4" max="4" width="10.7109375" style="2" customWidth="1"/>
    <col min="5" max="5" width="7.7109375" style="16" customWidth="1"/>
    <col min="6" max="6" width="8.5703125" style="2" customWidth="1"/>
    <col min="7" max="7" width="7.7109375" style="16" customWidth="1"/>
    <col min="8" max="8" width="8.5703125" style="2" customWidth="1"/>
    <col min="9" max="9" width="7.7109375" style="16" customWidth="1"/>
    <col min="10" max="10" width="8.5703125" style="2" customWidth="1"/>
    <col min="11" max="11" width="8.5703125" style="16" customWidth="1"/>
    <col min="12" max="12" width="10.5703125" style="2" customWidth="1"/>
    <col min="13" max="13" width="9.7109375" style="2" customWidth="1"/>
    <col min="14" max="14" width="10.5703125" style="2" customWidth="1"/>
    <col min="15" max="15" width="12.7109375" style="29" customWidth="1"/>
    <col min="16" max="16" width="14.42578125" style="29" customWidth="1"/>
    <col min="17" max="17" width="13.5703125" style="29" customWidth="1"/>
    <col min="18" max="18" width="20.7109375" style="29" customWidth="1"/>
    <col min="19" max="20" width="13.7109375" style="29" customWidth="1"/>
    <col min="21" max="21" width="11.5703125" style="2" customWidth="1"/>
    <col min="22" max="22" width="9.7109375" style="2" customWidth="1"/>
    <col min="23" max="28" width="10.5703125" style="29" customWidth="1"/>
    <col min="29" max="30" width="12.7109375" style="29" customWidth="1"/>
    <col min="31" max="31" width="13.7109375" style="29" customWidth="1"/>
    <col min="32" max="32" width="14.42578125" style="29" customWidth="1"/>
    <col min="33" max="33" width="18.7109375" style="29" customWidth="1"/>
    <col min="34" max="34" width="15.7109375" style="28" customWidth="1"/>
    <col min="35" max="16384" width="11.42578125" style="2"/>
  </cols>
  <sheetData>
    <row r="1" spans="1:36" x14ac:dyDescent="0.25">
      <c r="A1" s="23" t="s">
        <v>112</v>
      </c>
      <c r="B1" s="23" t="s">
        <v>113</v>
      </c>
      <c r="C1" s="24" t="s">
        <v>38</v>
      </c>
      <c r="D1" s="25" t="s">
        <v>39</v>
      </c>
      <c r="E1" s="26" t="s">
        <v>43</v>
      </c>
      <c r="F1" s="25" t="s">
        <v>44</v>
      </c>
      <c r="G1" s="26" t="s">
        <v>47</v>
      </c>
      <c r="H1" s="25" t="s">
        <v>48</v>
      </c>
      <c r="I1" s="26" t="s">
        <v>49</v>
      </c>
      <c r="J1" s="25" t="s">
        <v>50</v>
      </c>
      <c r="K1" s="26" t="s">
        <v>40</v>
      </c>
      <c r="L1" s="25" t="s">
        <v>41</v>
      </c>
      <c r="M1" s="25" t="s">
        <v>45</v>
      </c>
      <c r="N1" s="25" t="s">
        <v>46</v>
      </c>
      <c r="O1" s="70" t="s">
        <v>77</v>
      </c>
      <c r="P1" s="71" t="s">
        <v>51</v>
      </c>
      <c r="Q1" s="71" t="s">
        <v>21</v>
      </c>
      <c r="R1" s="70" t="s">
        <v>131</v>
      </c>
      <c r="S1" s="72" t="s">
        <v>132</v>
      </c>
      <c r="T1" s="72" t="s">
        <v>133</v>
      </c>
      <c r="U1" s="73" t="s">
        <v>42</v>
      </c>
      <c r="W1" s="74" t="s">
        <v>52</v>
      </c>
      <c r="X1" s="71" t="s">
        <v>53</v>
      </c>
      <c r="Y1" s="71" t="s">
        <v>54</v>
      </c>
      <c r="Z1" s="71" t="s">
        <v>55</v>
      </c>
      <c r="AA1" s="71" t="s">
        <v>56</v>
      </c>
      <c r="AB1" s="71" t="s">
        <v>57</v>
      </c>
      <c r="AC1" s="70" t="s">
        <v>127</v>
      </c>
      <c r="AD1" s="70" t="s">
        <v>128</v>
      </c>
      <c r="AE1" s="70" t="s">
        <v>129</v>
      </c>
      <c r="AF1" s="70" t="s">
        <v>130</v>
      </c>
      <c r="AG1" s="75" t="s">
        <v>126</v>
      </c>
      <c r="AH1" s="76" t="s">
        <v>147</v>
      </c>
      <c r="AI1" s="118"/>
      <c r="AJ1" s="118"/>
    </row>
    <row r="2" spans="1:36" x14ac:dyDescent="0.25">
      <c r="A2" s="68">
        <v>100</v>
      </c>
      <c r="B2" s="68">
        <v>1</v>
      </c>
      <c r="C2" s="69">
        <v>10101</v>
      </c>
      <c r="D2" s="68">
        <v>200</v>
      </c>
      <c r="E2" s="69">
        <v>11101</v>
      </c>
      <c r="F2" s="68">
        <v>300</v>
      </c>
      <c r="G2" s="69">
        <v>10202</v>
      </c>
      <c r="H2" s="68">
        <v>400</v>
      </c>
      <c r="I2" s="69">
        <v>10302</v>
      </c>
      <c r="J2" s="68">
        <v>500</v>
      </c>
      <c r="K2" s="69"/>
      <c r="L2" s="68"/>
      <c r="M2" s="68"/>
      <c r="N2" s="68"/>
      <c r="O2" s="79">
        <f t="shared" ref="O2:O10" si="0">(AC2+AD2)</f>
        <v>0.43845833333333334</v>
      </c>
      <c r="P2" s="79">
        <f t="shared" ref="P2:P10" si="1">SUM(W2:Z2)</f>
        <v>41.6</v>
      </c>
      <c r="Q2" s="79">
        <f t="shared" ref="Q2:Q10" si="2">SUM(AA2:AB2)</f>
        <v>0</v>
      </c>
      <c r="R2" s="79">
        <f>(Tabelle58[[#This Row],[3D/min:]]*0.25%)</f>
        <v>0.25</v>
      </c>
      <c r="S2" s="80">
        <f>(A2*_€_min)+Tabelle211[[#This Row],[St3D/€:]]+Tabelle211[[#This Row],[Per Kost/€:]]+Tabelle211[[#This Row],[SoAu3D/€:]]+SUM(Tabelle58[[#This Row],[Material /€:]:[Verschleiß 3D/€:]])</f>
        <v>48.583708333333334</v>
      </c>
      <c r="T2" s="79">
        <f>(B2*P3DE)+Tabelle211[[#This Row],[St3De/€:]]+Tabelle211[[#This Row],[SoAu3De/€:]]</f>
        <v>14.999750000000001</v>
      </c>
      <c r="U2" s="81">
        <f>ROUND(SUM(Tabelle58[[#This Row],[R/3D/€:]:[R/3DE/€:]]),2)</f>
        <v>63.58</v>
      </c>
      <c r="W2" s="77">
        <f>VLOOKUP(Tabelle58[[#This Row],[M1:]],Tabelle102527[],2,0)*Tabelle58[[#This Row],[M1/g:]]</f>
        <v>6.2</v>
      </c>
      <c r="X2" s="77">
        <f>VLOOKUP(Tabelle58[[#This Row],[M2:]],Tabelle102527[],2,0)*Tabelle58[[#This Row],[M2/g:]]</f>
        <v>9.3000000000000007</v>
      </c>
      <c r="Y2" s="77">
        <f>VLOOKUP(Tabelle58[[#This Row],[M3:]],Tabelle102527[],2,0)*Tabelle58[[#This Row],[M3/g:]]</f>
        <v>11.600000000000001</v>
      </c>
      <c r="Z2" s="77">
        <f>VLOOKUP(Tabelle58[[#This Row],[M4:]],Tabelle102527[],2,0)*Tabelle58[[#This Row],[M4/g:]]</f>
        <v>14.5</v>
      </c>
      <c r="AA2" s="78">
        <f>VLOOKUP(Tabelle58[[#This Row],[ExA1:]],Tabelle9[[Material Nummer:]:[Preis/St]],2,0)*Tabelle58[[#This Row],[Ex1/St:]]</f>
        <v>0</v>
      </c>
      <c r="AB2" s="78">
        <f>VLOOKUP(Tabelle58[[#This Row],[ExA2:]],Tabelle9[[Material Nummer:]:[Preis/St]],2,0)*Tabelle58[[#This Row],[Ex2/St:]]</f>
        <v>0</v>
      </c>
      <c r="AC2" s="79">
        <f t="shared" ref="AC2:AC10" si="3">(A2/60*_BLP1pkwh)*_StP€kWh</f>
        <v>0.28370833333333334</v>
      </c>
      <c r="AD2" s="79">
        <f t="shared" ref="AD2:AD10" si="4">(B2*_OFgeskWh)*_StP€kWh</f>
        <v>0.15475</v>
      </c>
      <c r="AE2" s="79">
        <f>MIN(Tabelle58[[#This Row],[3D/min:]]*PSoAU3D,PSoAu_Max)</f>
        <v>0.75</v>
      </c>
      <c r="AF2" s="79">
        <f t="shared" ref="AF2:AF10" si="5">B2*PSoAu_3DE</f>
        <v>1.845</v>
      </c>
      <c r="AG2" s="79">
        <f t="shared" ref="AG2:AG10" si="6">(SUM(W2:AB2)/100*10)</f>
        <v>4.16</v>
      </c>
      <c r="AH2" s="79">
        <f>IF(Tabelle58[[#This Row],[3D/min:]]&lt;=250,((PPer_3p-(Tabelle58[[#This Row],[3D/min:]]/250)*PPer_1_5p)*Tabelle58[[#This Row],[3D/min:]]),IF(Tabelle58[[#This Row],[3D/min:]]&lt;=1000,((PPer_1_4p-(Tabelle58[[#This Row],[3D/min:]]-250)/750*PPer_0_6p)*Tabelle58[[#This Row],[3D/min:]]), MIN(PPer_Max_13,PPer_0_5p*Tabelle58[[#This Row],[3D/min:]])))</f>
        <v>2.4</v>
      </c>
    </row>
    <row r="3" spans="1:36" x14ac:dyDescent="0.25">
      <c r="A3" s="68">
        <v>50</v>
      </c>
      <c r="B3" s="68"/>
      <c r="C3" s="69">
        <v>10101</v>
      </c>
      <c r="D3" s="68">
        <v>200</v>
      </c>
      <c r="E3" s="69"/>
      <c r="F3" s="68"/>
      <c r="G3" s="69"/>
      <c r="H3" s="68"/>
      <c r="I3" s="69"/>
      <c r="J3" s="68"/>
      <c r="K3" s="69"/>
      <c r="L3" s="68"/>
      <c r="M3" s="68"/>
      <c r="N3" s="68"/>
      <c r="O3" s="79">
        <f t="shared" si="0"/>
        <v>0.14185416666666667</v>
      </c>
      <c r="P3" s="79">
        <f t="shared" si="1"/>
        <v>6.2</v>
      </c>
      <c r="Q3" s="79">
        <f t="shared" si="2"/>
        <v>0</v>
      </c>
      <c r="R3" s="79">
        <f>(Tabelle58[[#This Row],[3D/min:]]*0.25%)</f>
        <v>0.125</v>
      </c>
      <c r="S3" s="80">
        <f>(A3*_€_min)+Tabelle211[[#This Row],[St3D/€:]]+Tabelle211[[#This Row],[Per Kost/€:]]+Tabelle211[[#This Row],[SoAu3D/€:]]+SUM(Tabelle58[[#This Row],[Material /€:]:[Verschleiß 3D/€:]])</f>
        <v>9.8418541666666677</v>
      </c>
      <c r="T3" s="79">
        <f>(B3*P3DE)+Tabelle211[[#This Row],[St3De/€:]]+Tabelle211[[#This Row],[SoAu3De/€:]]</f>
        <v>0</v>
      </c>
      <c r="U3" s="81">
        <f>ROUND(SUM(Tabelle58[[#This Row],[R/3D/€:]:[R/3DE/€:]]),2)</f>
        <v>9.84</v>
      </c>
      <c r="W3" s="77">
        <f>VLOOKUP(Tabelle58[[#This Row],[M1:]],Tabelle102527[],2,0)*Tabelle58[[#This Row],[M1/g:]]</f>
        <v>6.2</v>
      </c>
      <c r="X3" s="77">
        <f>VLOOKUP(Tabelle58[[#This Row],[M2:]],Tabelle102527[],2,0)*Tabelle58[[#This Row],[M2/g:]]</f>
        <v>0</v>
      </c>
      <c r="Y3" s="77">
        <f>VLOOKUP(Tabelle58[[#This Row],[M3:]],Tabelle102527[],2,0)*Tabelle58[[#This Row],[M3/g:]]</f>
        <v>0</v>
      </c>
      <c r="Z3" s="77">
        <f>VLOOKUP(Tabelle58[[#This Row],[M4:]],Tabelle102527[],2,0)*Tabelle58[[#This Row],[M4/g:]]</f>
        <v>0</v>
      </c>
      <c r="AA3" s="78">
        <f>VLOOKUP(Tabelle58[[#This Row],[ExA1:]],Tabelle9[[Material Nummer:]:[Preis/St]],2,0)*Tabelle58[[#This Row],[Ex1/St:]]</f>
        <v>0</v>
      </c>
      <c r="AB3" s="78">
        <f>VLOOKUP(Tabelle58[[#This Row],[ExA2:]],Tabelle9[[Material Nummer:]:[Preis/St]],2,0)*Tabelle58[[#This Row],[Ex2/St:]]</f>
        <v>0</v>
      </c>
      <c r="AC3" s="79">
        <f t="shared" si="3"/>
        <v>0.14185416666666667</v>
      </c>
      <c r="AD3" s="79">
        <f t="shared" si="4"/>
        <v>0</v>
      </c>
      <c r="AE3" s="79">
        <f>MIN(Tabelle58[[#This Row],[3D/min:]]*PSoAU3D,PSoAu_Max)</f>
        <v>0.375</v>
      </c>
      <c r="AF3" s="79">
        <f t="shared" si="5"/>
        <v>0</v>
      </c>
      <c r="AG3" s="79">
        <f t="shared" si="6"/>
        <v>0.62</v>
      </c>
      <c r="AH3" s="79">
        <f>IF(Tabelle58[[#This Row],[3D/min:]]&lt;=250,((PPer_3p-(Tabelle58[[#This Row],[3D/min:]]/250)*PPer_1_5p)*Tabelle58[[#This Row],[3D/min:]]),IF(Tabelle58[[#This Row],[3D/min:]]&lt;=1000,((PPer_1_4p-(Tabelle58[[#This Row],[3D/min:]]-250)/750*PPer_0_6p)*Tabelle58[[#This Row],[3D/min:]]), MIN(PPer_Max_13,PPer_0_5p*Tabelle58[[#This Row],[3D/min:]])))</f>
        <v>1.35</v>
      </c>
      <c r="AI3" s="33"/>
    </row>
    <row r="4" spans="1:36" x14ac:dyDescent="0.25">
      <c r="A4" s="82"/>
      <c r="B4" s="82"/>
      <c r="C4" s="83"/>
      <c r="D4" s="82"/>
      <c r="E4" s="83"/>
      <c r="F4" s="82"/>
      <c r="G4" s="83"/>
      <c r="H4" s="82"/>
      <c r="I4" s="83"/>
      <c r="J4" s="82"/>
      <c r="K4" s="83"/>
      <c r="L4" s="82"/>
      <c r="M4" s="82"/>
      <c r="N4" s="82"/>
      <c r="O4" s="79">
        <f t="shared" si="0"/>
        <v>0</v>
      </c>
      <c r="P4" s="79">
        <f t="shared" si="1"/>
        <v>0</v>
      </c>
      <c r="Q4" s="79">
        <f t="shared" si="2"/>
        <v>0</v>
      </c>
      <c r="R4" s="79">
        <f>(Tabelle58[[#This Row],[3D/min:]]*0.25%)</f>
        <v>0</v>
      </c>
      <c r="S4" s="80">
        <f>(A4*_€_min)+Tabelle211[[#This Row],[St3D/€:]]+Tabelle211[[#This Row],[Per Kost/€:]]+Tabelle211[[#This Row],[SoAu3D/€:]]+SUM(Tabelle58[[#This Row],[Material /€:]:[Verschleiß 3D/€:]])</f>
        <v>0</v>
      </c>
      <c r="T4" s="79">
        <f>(B4*P3DE)+Tabelle211[[#This Row],[St3De/€:]]+Tabelle211[[#This Row],[SoAu3De/€:]]</f>
        <v>0</v>
      </c>
      <c r="U4" s="81">
        <f>ROUND(SUM(Tabelle58[[#This Row],[R/3D/€:]:[R/3DE/€:]]),2)</f>
        <v>0</v>
      </c>
      <c r="W4" s="77">
        <f>VLOOKUP(Tabelle58[[#This Row],[M1:]],Tabelle102527[],2,0)*Tabelle58[[#This Row],[M1/g:]]</f>
        <v>0</v>
      </c>
      <c r="X4" s="77">
        <f>VLOOKUP(Tabelle58[[#This Row],[M2:]],Tabelle102527[],2,0)*Tabelle58[[#This Row],[M2/g:]]</f>
        <v>0</v>
      </c>
      <c r="Y4" s="77">
        <f>VLOOKUP(Tabelle58[[#This Row],[M3:]],Tabelle102527[],2,0)*Tabelle58[[#This Row],[M3/g:]]</f>
        <v>0</v>
      </c>
      <c r="Z4" s="77">
        <f>VLOOKUP(Tabelle58[[#This Row],[M4:]],Tabelle102527[],2,0)*Tabelle58[[#This Row],[M4/g:]]</f>
        <v>0</v>
      </c>
      <c r="AA4" s="78">
        <f>VLOOKUP(Tabelle58[[#This Row],[ExA1:]],Tabelle9[[Material Nummer:]:[Preis/St]],2,0)*Tabelle58[[#This Row],[Ex1/St:]]</f>
        <v>0</v>
      </c>
      <c r="AB4" s="78">
        <f>VLOOKUP(Tabelle58[[#This Row],[ExA2:]],Tabelle9[[Material Nummer:]:[Preis/St]],2,0)*Tabelle58[[#This Row],[Ex2/St:]]</f>
        <v>0</v>
      </c>
      <c r="AC4" s="79">
        <f t="shared" si="3"/>
        <v>0</v>
      </c>
      <c r="AD4" s="79">
        <f t="shared" si="4"/>
        <v>0</v>
      </c>
      <c r="AE4" s="79">
        <f>MIN(Tabelle58[[#This Row],[3D/min:]]*PSoAU3D,PSoAu_Max)</f>
        <v>0</v>
      </c>
      <c r="AF4" s="79">
        <f t="shared" si="5"/>
        <v>0</v>
      </c>
      <c r="AG4" s="79">
        <f t="shared" si="6"/>
        <v>0</v>
      </c>
      <c r="AH4" s="79">
        <f>IF(Tabelle58[[#This Row],[3D/min:]]&lt;=250,((PPer_3p-(Tabelle58[[#This Row],[3D/min:]]/250)*PPer_1_5p)*Tabelle58[[#This Row],[3D/min:]]),IF(Tabelle58[[#This Row],[3D/min:]]&lt;=1000,((PPer_1_4p-(Tabelle58[[#This Row],[3D/min:]]-250)/750*PPer_0_6p)*Tabelle58[[#This Row],[3D/min:]]), MIN(PPer_Max_13,PPer_0_5p*Tabelle58[[#This Row],[3D/min:]])))</f>
        <v>0</v>
      </c>
    </row>
    <row r="5" spans="1:36" x14ac:dyDescent="0.25">
      <c r="A5" s="82"/>
      <c r="B5" s="82"/>
      <c r="C5" s="83"/>
      <c r="D5" s="82"/>
      <c r="E5" s="83"/>
      <c r="F5" s="82"/>
      <c r="G5" s="83"/>
      <c r="H5" s="82"/>
      <c r="I5" s="83"/>
      <c r="J5" s="82"/>
      <c r="K5" s="83"/>
      <c r="L5" s="82"/>
      <c r="M5" s="82"/>
      <c r="N5" s="82"/>
      <c r="O5" s="79">
        <f t="shared" si="0"/>
        <v>0</v>
      </c>
      <c r="P5" s="79">
        <f t="shared" si="1"/>
        <v>0</v>
      </c>
      <c r="Q5" s="79">
        <f t="shared" si="2"/>
        <v>0</v>
      </c>
      <c r="R5" s="79">
        <f>(Tabelle58[[#This Row],[3D/min:]]*0.25%)</f>
        <v>0</v>
      </c>
      <c r="S5" s="80">
        <f>(A5*_€_min)+Tabelle211[[#This Row],[St3D/€:]]+Tabelle211[[#This Row],[Per Kost/€:]]+Tabelle211[[#This Row],[SoAu3D/€:]]+SUM(Tabelle58[[#This Row],[Material /€:]:[Verschleiß 3D/€:]])</f>
        <v>0</v>
      </c>
      <c r="T5" s="79">
        <f>(B5*P3DE)+Tabelle211[[#This Row],[St3De/€:]]+Tabelle211[[#This Row],[SoAu3De/€:]]</f>
        <v>0</v>
      </c>
      <c r="U5" s="81">
        <f>ROUND(SUM(Tabelle58[[#This Row],[R/3D/€:]:[R/3DE/€:]]),2)</f>
        <v>0</v>
      </c>
      <c r="W5" s="77">
        <f>VLOOKUP(Tabelle58[[#This Row],[M1:]],Tabelle102527[],2,0)*Tabelle58[[#This Row],[M1/g:]]</f>
        <v>0</v>
      </c>
      <c r="X5" s="77">
        <f>VLOOKUP(Tabelle58[[#This Row],[M2:]],Tabelle102527[],2,0)*Tabelle58[[#This Row],[M2/g:]]</f>
        <v>0</v>
      </c>
      <c r="Y5" s="77">
        <f>VLOOKUP(Tabelle58[[#This Row],[M3:]],Tabelle102527[],2,0)*Tabelle58[[#This Row],[M3/g:]]</f>
        <v>0</v>
      </c>
      <c r="Z5" s="77">
        <f>VLOOKUP(Tabelle58[[#This Row],[M4:]],Tabelle102527[],2,0)*Tabelle58[[#This Row],[M4/g:]]</f>
        <v>0</v>
      </c>
      <c r="AA5" s="78">
        <f>VLOOKUP(Tabelle58[[#This Row],[ExA1:]],Tabelle9[[Material Nummer:]:[Preis/St]],2,0)*Tabelle58[[#This Row],[Ex1/St:]]</f>
        <v>0</v>
      </c>
      <c r="AB5" s="78">
        <f>VLOOKUP(Tabelle58[[#This Row],[ExA2:]],Tabelle9[[Material Nummer:]:[Preis/St]],2,0)*Tabelle58[[#This Row],[Ex2/St:]]</f>
        <v>0</v>
      </c>
      <c r="AC5" s="79">
        <f t="shared" si="3"/>
        <v>0</v>
      </c>
      <c r="AD5" s="79">
        <f t="shared" si="4"/>
        <v>0</v>
      </c>
      <c r="AE5" s="79">
        <f>MIN(Tabelle58[[#This Row],[3D/min:]]*PSoAU3D,PSoAu_Max)</f>
        <v>0</v>
      </c>
      <c r="AF5" s="79">
        <f t="shared" si="5"/>
        <v>0</v>
      </c>
      <c r="AG5" s="79">
        <f t="shared" si="6"/>
        <v>0</v>
      </c>
      <c r="AH5" s="79">
        <f>IF(Tabelle58[[#This Row],[3D/min:]]&lt;=250,((PPer_3p-(Tabelle58[[#This Row],[3D/min:]]/250)*PPer_1_5p)*Tabelle58[[#This Row],[3D/min:]]),IF(Tabelle58[[#This Row],[3D/min:]]&lt;=1000,((PPer_1_4p-(Tabelle58[[#This Row],[3D/min:]]-250)/750*PPer_0_6p)*Tabelle58[[#This Row],[3D/min:]]), MIN(PPer_Max_13,PPer_0_5p*Tabelle58[[#This Row],[3D/min:]])))</f>
        <v>0</v>
      </c>
      <c r="AI5" s="33"/>
    </row>
    <row r="6" spans="1:36" x14ac:dyDescent="0.25">
      <c r="A6" s="82"/>
      <c r="B6" s="82"/>
      <c r="C6" s="83"/>
      <c r="D6" s="82"/>
      <c r="E6" s="83"/>
      <c r="F6" s="82"/>
      <c r="G6" s="83"/>
      <c r="H6" s="82"/>
      <c r="I6" s="83"/>
      <c r="J6" s="82"/>
      <c r="K6" s="83"/>
      <c r="L6" s="82"/>
      <c r="M6" s="82"/>
      <c r="N6" s="82"/>
      <c r="O6" s="79">
        <f t="shared" si="0"/>
        <v>0</v>
      </c>
      <c r="P6" s="79">
        <f t="shared" si="1"/>
        <v>0</v>
      </c>
      <c r="Q6" s="79">
        <f t="shared" si="2"/>
        <v>0</v>
      </c>
      <c r="R6" s="79">
        <f>(Tabelle58[[#This Row],[3D/min:]]*0.25%)</f>
        <v>0</v>
      </c>
      <c r="S6" s="80">
        <f>(A6*_€_min)+Tabelle211[[#This Row],[St3D/€:]]+Tabelle211[[#This Row],[Per Kost/€:]]+Tabelle211[[#This Row],[SoAu3D/€:]]+SUM(Tabelle58[[#This Row],[Material /€:]:[Verschleiß 3D/€:]])</f>
        <v>0</v>
      </c>
      <c r="T6" s="79">
        <f>(B6*P3DE)+Tabelle211[[#This Row],[St3De/€:]]+Tabelle211[[#This Row],[SoAu3De/€:]]</f>
        <v>0</v>
      </c>
      <c r="U6" s="81">
        <f>ROUND(SUM(Tabelle58[[#This Row],[R/3D/€:]:[R/3DE/€:]]),2)</f>
        <v>0</v>
      </c>
      <c r="W6" s="77">
        <f>VLOOKUP(Tabelle58[[#This Row],[M1:]],Tabelle102527[],2,0)*Tabelle58[[#This Row],[M1/g:]]</f>
        <v>0</v>
      </c>
      <c r="X6" s="77">
        <f>VLOOKUP(Tabelle58[[#This Row],[M2:]],Tabelle102527[],2,0)*Tabelle58[[#This Row],[M2/g:]]</f>
        <v>0</v>
      </c>
      <c r="Y6" s="77">
        <f>VLOOKUP(Tabelle58[[#This Row],[M3:]],Tabelle102527[],2,0)*Tabelle58[[#This Row],[M3/g:]]</f>
        <v>0</v>
      </c>
      <c r="Z6" s="77">
        <f>VLOOKUP(Tabelle58[[#This Row],[M4:]],Tabelle102527[],2,0)*Tabelle58[[#This Row],[M4/g:]]</f>
        <v>0</v>
      </c>
      <c r="AA6" s="78">
        <f>VLOOKUP(Tabelle58[[#This Row],[ExA1:]],Tabelle9[[Material Nummer:]:[Preis/St]],2,0)*Tabelle58[[#This Row],[Ex1/St:]]</f>
        <v>0</v>
      </c>
      <c r="AB6" s="78">
        <f>VLOOKUP(Tabelle58[[#This Row],[ExA2:]],Tabelle9[[Material Nummer:]:[Preis/St]],2,0)*Tabelle58[[#This Row],[Ex2/St:]]</f>
        <v>0</v>
      </c>
      <c r="AC6" s="79">
        <f t="shared" si="3"/>
        <v>0</v>
      </c>
      <c r="AD6" s="79">
        <f t="shared" si="4"/>
        <v>0</v>
      </c>
      <c r="AE6" s="79">
        <f>MIN(Tabelle58[[#This Row],[3D/min:]]*PSoAU3D,PSoAu_Max)</f>
        <v>0</v>
      </c>
      <c r="AF6" s="79">
        <f t="shared" si="5"/>
        <v>0</v>
      </c>
      <c r="AG6" s="79">
        <f t="shared" si="6"/>
        <v>0</v>
      </c>
      <c r="AH6" s="79">
        <f>IF(Tabelle58[[#This Row],[3D/min:]]&lt;=250,((PPer_3p-(Tabelle58[[#This Row],[3D/min:]]/250)*PPer_1_5p)*Tabelle58[[#This Row],[3D/min:]]),IF(Tabelle58[[#This Row],[3D/min:]]&lt;=1000,((PPer_1_4p-(Tabelle58[[#This Row],[3D/min:]]-250)/750*PPer_0_6p)*Tabelle58[[#This Row],[3D/min:]]), MIN(PPer_Max_13,PPer_0_5p*Tabelle58[[#This Row],[3D/min:]])))</f>
        <v>0</v>
      </c>
    </row>
    <row r="7" spans="1:36" x14ac:dyDescent="0.25">
      <c r="A7" s="82"/>
      <c r="B7" s="82"/>
      <c r="C7" s="83"/>
      <c r="D7" s="82"/>
      <c r="E7" s="83"/>
      <c r="F7" s="82"/>
      <c r="G7" s="83"/>
      <c r="H7" s="82"/>
      <c r="I7" s="83"/>
      <c r="J7" s="82"/>
      <c r="K7" s="83"/>
      <c r="L7" s="82"/>
      <c r="M7" s="82"/>
      <c r="N7" s="82"/>
      <c r="O7" s="79">
        <f t="shared" si="0"/>
        <v>0</v>
      </c>
      <c r="P7" s="79">
        <f t="shared" si="1"/>
        <v>0</v>
      </c>
      <c r="Q7" s="79">
        <f t="shared" si="2"/>
        <v>0</v>
      </c>
      <c r="R7" s="79">
        <f>(Tabelle58[[#This Row],[3D/min:]]*0.25%)</f>
        <v>0</v>
      </c>
      <c r="S7" s="80">
        <f>(A7*_€_min)+Tabelle211[[#This Row],[St3D/€:]]+Tabelle211[[#This Row],[Per Kost/€:]]+Tabelle211[[#This Row],[SoAu3D/€:]]+SUM(Tabelle58[[#This Row],[Material /€:]:[Verschleiß 3D/€:]])</f>
        <v>0</v>
      </c>
      <c r="T7" s="79">
        <f>(B7*P3DE)+Tabelle211[[#This Row],[St3De/€:]]+Tabelle211[[#This Row],[SoAu3De/€:]]</f>
        <v>0</v>
      </c>
      <c r="U7" s="81">
        <f>ROUND(SUM(Tabelle58[[#This Row],[R/3D/€:]:[R/3DE/€:]]),2)</f>
        <v>0</v>
      </c>
      <c r="W7" s="77">
        <f>VLOOKUP(Tabelle58[[#This Row],[M1:]],Tabelle102527[],2,0)*Tabelle58[[#This Row],[M1/g:]]</f>
        <v>0</v>
      </c>
      <c r="X7" s="77">
        <f>VLOOKUP(Tabelle58[[#This Row],[M2:]],Tabelle102527[],2,0)*Tabelle58[[#This Row],[M2/g:]]</f>
        <v>0</v>
      </c>
      <c r="Y7" s="77">
        <f>VLOOKUP(Tabelle58[[#This Row],[M3:]],Tabelle102527[],2,0)*Tabelle58[[#This Row],[M3/g:]]</f>
        <v>0</v>
      </c>
      <c r="Z7" s="77">
        <f>VLOOKUP(Tabelle58[[#This Row],[M4:]],Tabelle102527[],2,0)*Tabelle58[[#This Row],[M4/g:]]</f>
        <v>0</v>
      </c>
      <c r="AA7" s="78">
        <f>VLOOKUP(Tabelle58[[#This Row],[ExA1:]],Tabelle9[[Material Nummer:]:[Preis/St]],2,0)*Tabelle58[[#This Row],[Ex1/St:]]</f>
        <v>0</v>
      </c>
      <c r="AB7" s="78">
        <f>VLOOKUP(Tabelle58[[#This Row],[ExA2:]],Tabelle9[[Material Nummer:]:[Preis/St]],2,0)*Tabelle58[[#This Row],[Ex2/St:]]</f>
        <v>0</v>
      </c>
      <c r="AC7" s="79">
        <f t="shared" si="3"/>
        <v>0</v>
      </c>
      <c r="AD7" s="79">
        <f t="shared" si="4"/>
        <v>0</v>
      </c>
      <c r="AE7" s="79">
        <f>MIN(Tabelle58[[#This Row],[3D/min:]]*PSoAU3D,PSoAu_Max)</f>
        <v>0</v>
      </c>
      <c r="AF7" s="79">
        <f t="shared" si="5"/>
        <v>0</v>
      </c>
      <c r="AG7" s="79">
        <f t="shared" si="6"/>
        <v>0</v>
      </c>
      <c r="AH7" s="79">
        <f>IF(Tabelle58[[#This Row],[3D/min:]]&lt;=250,((PPer_3p-(Tabelle58[[#This Row],[3D/min:]]/250)*PPer_1_5p)*Tabelle58[[#This Row],[3D/min:]]),IF(Tabelle58[[#This Row],[3D/min:]]&lt;=1000,((PPer_1_4p-(Tabelle58[[#This Row],[3D/min:]]-250)/750*PPer_0_6p)*Tabelle58[[#This Row],[3D/min:]]), MIN(PPer_Max_13,PPer_0_5p*Tabelle58[[#This Row],[3D/min:]])))</f>
        <v>0</v>
      </c>
    </row>
    <row r="8" spans="1:36" x14ac:dyDescent="0.25">
      <c r="A8" s="82"/>
      <c r="B8" s="82"/>
      <c r="C8" s="83"/>
      <c r="D8" s="82"/>
      <c r="E8" s="83"/>
      <c r="F8" s="82"/>
      <c r="G8" s="83"/>
      <c r="H8" s="82"/>
      <c r="I8" s="83"/>
      <c r="J8" s="82"/>
      <c r="K8" s="83"/>
      <c r="L8" s="82"/>
      <c r="M8" s="82"/>
      <c r="N8" s="82"/>
      <c r="O8" s="79">
        <f t="shared" si="0"/>
        <v>0</v>
      </c>
      <c r="P8" s="79">
        <f t="shared" si="1"/>
        <v>0</v>
      </c>
      <c r="Q8" s="79">
        <f t="shared" si="2"/>
        <v>0</v>
      </c>
      <c r="R8" s="79">
        <f>(Tabelle58[[#This Row],[3D/min:]]*0.25%)</f>
        <v>0</v>
      </c>
      <c r="S8" s="80">
        <f>(A8*_€_min)+Tabelle211[[#This Row],[St3D/€:]]+Tabelle211[[#This Row],[Per Kost/€:]]+Tabelle211[[#This Row],[SoAu3D/€:]]+SUM(Tabelle58[[#This Row],[Material /€:]:[Verschleiß 3D/€:]])</f>
        <v>0</v>
      </c>
      <c r="T8" s="79">
        <f>(B8*P3DE)+Tabelle211[[#This Row],[St3De/€:]]+Tabelle211[[#This Row],[SoAu3De/€:]]</f>
        <v>0</v>
      </c>
      <c r="U8" s="81">
        <f>ROUND(SUM(Tabelle58[[#This Row],[R/3D/€:]:[R/3DE/€:]]),2)</f>
        <v>0</v>
      </c>
      <c r="W8" s="77">
        <f>VLOOKUP(Tabelle58[[#This Row],[M1:]],Tabelle102527[],2,0)*Tabelle58[[#This Row],[M1/g:]]</f>
        <v>0</v>
      </c>
      <c r="X8" s="77">
        <f>VLOOKUP(Tabelle58[[#This Row],[M2:]],Tabelle102527[],2,0)*Tabelle58[[#This Row],[M2/g:]]</f>
        <v>0</v>
      </c>
      <c r="Y8" s="77">
        <f>VLOOKUP(Tabelle58[[#This Row],[M3:]],Tabelle102527[],2,0)*Tabelle58[[#This Row],[M3/g:]]</f>
        <v>0</v>
      </c>
      <c r="Z8" s="77">
        <f>VLOOKUP(Tabelle58[[#This Row],[M4:]],Tabelle102527[],2,0)*Tabelle58[[#This Row],[M4/g:]]</f>
        <v>0</v>
      </c>
      <c r="AA8" s="78">
        <f>VLOOKUP(Tabelle58[[#This Row],[ExA1:]],Tabelle9[[Material Nummer:]:[Preis/St]],2,0)*Tabelle58[[#This Row],[Ex1/St:]]</f>
        <v>0</v>
      </c>
      <c r="AB8" s="78">
        <f>VLOOKUP(Tabelle58[[#This Row],[ExA2:]],Tabelle9[[Material Nummer:]:[Preis/St]],2,0)*Tabelle58[[#This Row],[Ex2/St:]]</f>
        <v>0</v>
      </c>
      <c r="AC8" s="79">
        <f t="shared" si="3"/>
        <v>0</v>
      </c>
      <c r="AD8" s="79">
        <f t="shared" si="4"/>
        <v>0</v>
      </c>
      <c r="AE8" s="79">
        <f>MIN(Tabelle58[[#This Row],[3D/min:]]*PSoAU3D,PSoAu_Max)</f>
        <v>0</v>
      </c>
      <c r="AF8" s="79">
        <f t="shared" si="5"/>
        <v>0</v>
      </c>
      <c r="AG8" s="79">
        <f t="shared" si="6"/>
        <v>0</v>
      </c>
      <c r="AH8" s="79">
        <f>IF(Tabelle58[[#This Row],[3D/min:]]&lt;=250,((PPer_3p-(Tabelle58[[#This Row],[3D/min:]]/250)*PPer_1_5p)*Tabelle58[[#This Row],[3D/min:]]),IF(Tabelle58[[#This Row],[3D/min:]]&lt;=1000,((PPer_1_4p-(Tabelle58[[#This Row],[3D/min:]]-250)/750*PPer_0_6p)*Tabelle58[[#This Row],[3D/min:]]), MIN(PPer_Max_13,PPer_0_5p*Tabelle58[[#This Row],[3D/min:]])))</f>
        <v>0</v>
      </c>
    </row>
    <row r="9" spans="1:36" x14ac:dyDescent="0.25">
      <c r="A9" s="82"/>
      <c r="B9" s="82"/>
      <c r="C9" s="83"/>
      <c r="D9" s="82"/>
      <c r="E9" s="83"/>
      <c r="F9" s="82"/>
      <c r="G9" s="83"/>
      <c r="H9" s="82"/>
      <c r="I9" s="83"/>
      <c r="J9" s="82"/>
      <c r="K9" s="83"/>
      <c r="L9" s="82"/>
      <c r="M9" s="82"/>
      <c r="N9" s="82"/>
      <c r="O9" s="79">
        <f t="shared" si="0"/>
        <v>0</v>
      </c>
      <c r="P9" s="79">
        <f t="shared" si="1"/>
        <v>0</v>
      </c>
      <c r="Q9" s="79">
        <f t="shared" si="2"/>
        <v>0</v>
      </c>
      <c r="R9" s="79">
        <f>(Tabelle58[[#This Row],[3D/min:]]*0.25%)</f>
        <v>0</v>
      </c>
      <c r="S9" s="80">
        <f>(A9*_€_min)+Tabelle211[[#This Row],[St3D/€:]]+Tabelle211[[#This Row],[Per Kost/€:]]+Tabelle211[[#This Row],[SoAu3D/€:]]+SUM(Tabelle58[[#This Row],[Material /€:]:[Verschleiß 3D/€:]])</f>
        <v>0</v>
      </c>
      <c r="T9" s="79">
        <f>(B9*P3DE)+Tabelle211[[#This Row],[St3De/€:]]+Tabelle211[[#This Row],[SoAu3De/€:]]</f>
        <v>0</v>
      </c>
      <c r="U9" s="81">
        <f>ROUND(SUM(Tabelle58[[#This Row],[R/3D/€:]:[R/3DE/€:]]),2)</f>
        <v>0</v>
      </c>
      <c r="W9" s="77">
        <f>VLOOKUP(Tabelle58[[#This Row],[M1:]],Tabelle102527[],2,0)*Tabelle58[[#This Row],[M1/g:]]</f>
        <v>0</v>
      </c>
      <c r="X9" s="77">
        <f>VLOOKUP(Tabelle58[[#This Row],[M2:]],Tabelle102527[],2,0)*Tabelle58[[#This Row],[M2/g:]]</f>
        <v>0</v>
      </c>
      <c r="Y9" s="77">
        <f>VLOOKUP(Tabelle58[[#This Row],[M3:]],Tabelle102527[],2,0)*Tabelle58[[#This Row],[M3/g:]]</f>
        <v>0</v>
      </c>
      <c r="Z9" s="77">
        <f>VLOOKUP(Tabelle58[[#This Row],[M4:]],Tabelle102527[],2,0)*Tabelle58[[#This Row],[M4/g:]]</f>
        <v>0</v>
      </c>
      <c r="AA9" s="78">
        <f>VLOOKUP(Tabelle58[[#This Row],[ExA1:]],Tabelle9[[Material Nummer:]:[Preis/St]],2,0)*Tabelle58[[#This Row],[Ex1/St:]]</f>
        <v>0</v>
      </c>
      <c r="AB9" s="78">
        <f>VLOOKUP(Tabelle58[[#This Row],[ExA2:]],Tabelle9[[Material Nummer:]:[Preis/St]],2,0)*Tabelle58[[#This Row],[Ex2/St:]]</f>
        <v>0</v>
      </c>
      <c r="AC9" s="79">
        <f t="shared" si="3"/>
        <v>0</v>
      </c>
      <c r="AD9" s="79">
        <f t="shared" si="4"/>
        <v>0</v>
      </c>
      <c r="AE9" s="79">
        <f>MIN(Tabelle58[[#This Row],[3D/min:]]*PSoAU3D,PSoAu_Max)</f>
        <v>0</v>
      </c>
      <c r="AF9" s="79">
        <f t="shared" si="5"/>
        <v>0</v>
      </c>
      <c r="AG9" s="79">
        <f t="shared" si="6"/>
        <v>0</v>
      </c>
      <c r="AH9" s="79">
        <f>IF(Tabelle58[[#This Row],[3D/min:]]&lt;=250,((PPer_3p-(Tabelle58[[#This Row],[3D/min:]]/250)*PPer_1_5p)*Tabelle58[[#This Row],[3D/min:]]),IF(Tabelle58[[#This Row],[3D/min:]]&lt;=1000,((PPer_1_4p-(Tabelle58[[#This Row],[3D/min:]]-250)/750*PPer_0_6p)*Tabelle58[[#This Row],[3D/min:]]), MIN(PPer_Max_13,PPer_0_5p*Tabelle58[[#This Row],[3D/min:]])))</f>
        <v>0</v>
      </c>
    </row>
    <row r="10" spans="1:36" x14ac:dyDescent="0.25">
      <c r="A10" s="82"/>
      <c r="B10" s="82"/>
      <c r="C10" s="83"/>
      <c r="D10" s="82"/>
      <c r="E10" s="83"/>
      <c r="F10" s="82"/>
      <c r="G10" s="83"/>
      <c r="H10" s="82"/>
      <c r="I10" s="83"/>
      <c r="J10" s="82"/>
      <c r="K10" s="83"/>
      <c r="L10" s="82"/>
      <c r="M10" s="82"/>
      <c r="N10" s="82"/>
      <c r="O10" s="79">
        <f t="shared" si="0"/>
        <v>0</v>
      </c>
      <c r="P10" s="79">
        <f t="shared" si="1"/>
        <v>0</v>
      </c>
      <c r="Q10" s="79">
        <f t="shared" si="2"/>
        <v>0</v>
      </c>
      <c r="R10" s="79">
        <f>(Tabelle58[[#This Row],[3D/min:]]*0.25%)</f>
        <v>0</v>
      </c>
      <c r="S10" s="80">
        <f>(A10*_€_min)+Tabelle211[[#This Row],[St3D/€:]]+Tabelle211[[#This Row],[Per Kost/€:]]+Tabelle211[[#This Row],[SoAu3D/€:]]+SUM(Tabelle58[[#This Row],[Material /€:]:[Verschleiß 3D/€:]])</f>
        <v>0</v>
      </c>
      <c r="T10" s="79">
        <f>(B10*P3DE)+Tabelle211[[#This Row],[St3De/€:]]+Tabelle211[[#This Row],[SoAu3De/€:]]</f>
        <v>0</v>
      </c>
      <c r="U10" s="81">
        <f>ROUND(SUM(Tabelle58[[#This Row],[R/3D/€:]:[R/3DE/€:]]),2)</f>
        <v>0</v>
      </c>
      <c r="W10" s="77">
        <f>VLOOKUP(Tabelle58[[#This Row],[M1:]],Tabelle102527[],2,0)*Tabelle58[[#This Row],[M1/g:]]</f>
        <v>0</v>
      </c>
      <c r="X10" s="77">
        <f>VLOOKUP(Tabelle58[[#This Row],[M2:]],Tabelle102527[],2,0)*Tabelle58[[#This Row],[M2/g:]]</f>
        <v>0</v>
      </c>
      <c r="Y10" s="77">
        <f>VLOOKUP(Tabelle58[[#This Row],[M3:]],Tabelle102527[],2,0)*Tabelle58[[#This Row],[M3/g:]]</f>
        <v>0</v>
      </c>
      <c r="Z10" s="77">
        <f>VLOOKUP(Tabelle58[[#This Row],[M4:]],Tabelle102527[],2,0)*Tabelle58[[#This Row],[M4/g:]]</f>
        <v>0</v>
      </c>
      <c r="AA10" s="78">
        <f>VLOOKUP(Tabelle58[[#This Row],[ExA1:]],Tabelle9[[Material Nummer:]:[Preis/St]],2,0)*Tabelle58[[#This Row],[Ex1/St:]]</f>
        <v>0</v>
      </c>
      <c r="AB10" s="78">
        <f>VLOOKUP(Tabelle58[[#This Row],[ExA2:]],Tabelle9[[Material Nummer:]:[Preis/St]],2,0)*Tabelle58[[#This Row],[Ex2/St:]]</f>
        <v>0</v>
      </c>
      <c r="AC10" s="79">
        <f t="shared" si="3"/>
        <v>0</v>
      </c>
      <c r="AD10" s="79">
        <f t="shared" si="4"/>
        <v>0</v>
      </c>
      <c r="AE10" s="79">
        <f>MIN(Tabelle58[[#This Row],[3D/min:]]*PSoAU3D,PSoAu_Max)</f>
        <v>0</v>
      </c>
      <c r="AF10" s="79">
        <f t="shared" si="5"/>
        <v>0</v>
      </c>
      <c r="AG10" s="79">
        <f t="shared" si="6"/>
        <v>0</v>
      </c>
      <c r="AH10" s="79">
        <f>IF(Tabelle58[[#This Row],[3D/min:]]&lt;=250,((PPer_3p-(Tabelle58[[#This Row],[3D/min:]]/250)*PPer_1_5p)*Tabelle58[[#This Row],[3D/min:]]),IF(Tabelle58[[#This Row],[3D/min:]]&lt;=1000,((PPer_1_4p-(Tabelle58[[#This Row],[3D/min:]]-250)/750*PPer_0_6p)*Tabelle58[[#This Row],[3D/min:]]), MIN(PPer_Max_13,PPer_0_5p*Tabelle58[[#This Row],[3D/min:]])))</f>
        <v>0</v>
      </c>
    </row>
  </sheetData>
  <sheetProtection algorithmName="SHA-512" hashValue="snoCvwLmw86UkliFXJefGuHDQnjssp1XbHhdDniJ5hAMMdE0ia7PSAHX+Ny/CPRyRocM9AJvFeubCqNNZedMmg==" saltValue="kOcSSHzLgFEobQWnQ/5wmw==" spinCount="100000" sheet="1" objects="1" scenarios="1"/>
  <protectedRanges>
    <protectedRange sqref="A2:N10" name="Bereich1"/>
  </protectedRanges>
  <mergeCells count="1">
    <mergeCell ref="AI1:AJ1"/>
  </mergeCells>
  <pageMargins left="0.7" right="0.7" top="0.78740157499999996" bottom="0.78740157499999996" header="0.3" footer="0.3"/>
  <pageSetup paperSize="9" scale="19" orientation="portrait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9E2F-3A27-4B06-82E6-F344FE343A71}">
  <sheetPr codeName="Tabelle2"/>
  <dimension ref="A1:F10"/>
  <sheetViews>
    <sheetView zoomScaleNormal="100" workbookViewId="0">
      <pane ySplit="1" topLeftCell="A2" activePane="bottomLeft" state="frozen"/>
      <selection pane="bottomLeft" activeCell="F20" sqref="F20"/>
    </sheetView>
  </sheetViews>
  <sheetFormatPr baseColWidth="10" defaultColWidth="11.42578125" defaultRowHeight="15" x14ac:dyDescent="0.25"/>
  <cols>
    <col min="1" max="1" width="22.5703125" style="14" customWidth="1"/>
    <col min="2" max="2" width="18.42578125" style="3" customWidth="1"/>
    <col min="3" max="3" width="32" style="12" customWidth="1"/>
    <col min="4" max="4" width="9.7109375" style="45" customWidth="1"/>
    <col min="5" max="5" width="23" style="13" customWidth="1"/>
    <col min="6" max="6" width="15.7109375" style="41" customWidth="1"/>
    <col min="7" max="16384" width="11.42578125" style="3"/>
  </cols>
  <sheetData>
    <row r="1" spans="1:6" x14ac:dyDescent="0.25">
      <c r="A1" s="27" t="s">
        <v>3</v>
      </c>
      <c r="B1" s="1" t="s">
        <v>167</v>
      </c>
      <c r="C1" s="42" t="s">
        <v>166</v>
      </c>
      <c r="D1" s="44" t="s">
        <v>111</v>
      </c>
      <c r="E1" s="30" t="s">
        <v>165</v>
      </c>
      <c r="F1" s="40" t="s">
        <v>164</v>
      </c>
    </row>
    <row r="2" spans="1:6" x14ac:dyDescent="0.25">
      <c r="A2" s="48">
        <f>ROUND((Tabelle58[[#This Row],[R/Be:]]+Tabelle6[[#This Row],[Käuferschutz Rechnung/€:]]+Tabelle6[[#This Row],[Versand/€:]])+IF(Tabelle58[[#This Row],[R/Be:]]&gt;50,-Tabelle6[[#This Row],[Versand/€:]],0)-Tabelle6[[#This Row],[Rabatt Betrag /€:]],2)</f>
        <v>58.53</v>
      </c>
      <c r="B2" s="46">
        <v>1</v>
      </c>
      <c r="C2" s="49">
        <f>IF(B2=1,(Tabelle58[[#This Row],[R/Be:]]+Tabelle6[[#This Row],[Versand/€:]])*2.29%+0.35,0)</f>
        <v>1.8973529999999998</v>
      </c>
      <c r="D2" s="50">
        <v>0.1</v>
      </c>
      <c r="E2" s="47">
        <f>(Tabelle58[[#This Row],[R/Be:]]+Tabelle6[[#This Row],[Käuferschutz Rechnung/€:]]+Tabelle6[[#This Row],[Versand/€:]])*Tabelle6[[#This Row],[RB/%:]]</f>
        <v>6.9467352999999994</v>
      </c>
      <c r="F2" s="51">
        <v>3.99</v>
      </c>
    </row>
    <row r="3" spans="1:6" x14ac:dyDescent="0.25">
      <c r="A3" s="48">
        <f>ROUND((Tabelle58[[#This Row],[R/Be:]]+Tabelle6[[#This Row],[Käuferschutz Rechnung/€:]]+Tabelle6[[#This Row],[Versand/€:]])+IF(Tabelle58[[#This Row],[R/Be:]]&gt;50,-Tabelle6[[#This Row],[Versand/€:]],0)-Tabelle6[[#This Row],[Rabatt Betrag /€:]],2)</f>
        <v>12.59</v>
      </c>
      <c r="B3" s="46"/>
      <c r="C3" s="49">
        <f>IF(B3=1,(Tabelle58[[#This Row],[R/Be:]]+Tabelle6[[#This Row],[Versand/€:]])*2.29%+0.35,0)</f>
        <v>0</v>
      </c>
      <c r="D3" s="50"/>
      <c r="E3" s="47">
        <f>(Tabelle58[[#This Row],[R/Be:]]+Tabelle6[[#This Row],[Käuferschutz Rechnung/€:]]+Tabelle6[[#This Row],[Versand/€:]])*Tabelle6[[#This Row],[RB/%:]]</f>
        <v>0</v>
      </c>
      <c r="F3" s="51">
        <v>2.75</v>
      </c>
    </row>
    <row r="4" spans="1:6" x14ac:dyDescent="0.25">
      <c r="A4" s="89">
        <f>ROUND((Tabelle58[[#This Row],[R/Be:]]+Tabelle6[[#This Row],[Käuferschutz Rechnung/€:]]+Tabelle6[[#This Row],[Versand/€:]])+IF(Tabelle58[[#This Row],[R/Be:]]&gt;50,-Tabelle6[[#This Row],[Versand/€:]],0)-Tabelle6[[#This Row],[Rabatt Betrag /€:]],2)</f>
        <v>0</v>
      </c>
      <c r="B4" s="88"/>
      <c r="C4" s="90">
        <f>IF(B4=1,(Tabelle58[[#This Row],[R/Be:]]+Tabelle6[[#This Row],[Versand/€:]])*2.29%+0.35,0)</f>
        <v>0</v>
      </c>
      <c r="D4" s="84"/>
      <c r="E4" s="91">
        <f>(Tabelle58[[#This Row],[R/Be:]]+Tabelle6[[#This Row],[Käuferschutz Rechnung/€:]]+Tabelle6[[#This Row],[Versand/€:]])*Tabelle6[[#This Row],[RB/%:]]</f>
        <v>0</v>
      </c>
      <c r="F4" s="86"/>
    </row>
    <row r="5" spans="1:6" x14ac:dyDescent="0.25">
      <c r="A5" s="89">
        <f>ROUND((Tabelle58[[#This Row],[R/Be:]]+Tabelle6[[#This Row],[Käuferschutz Rechnung/€:]]+Tabelle6[[#This Row],[Versand/€:]])+IF(Tabelle58[[#This Row],[R/Be:]]&gt;50,-Tabelle6[[#This Row],[Versand/€:]],0)-Tabelle6[[#This Row],[Rabatt Betrag /€:]],2)</f>
        <v>0</v>
      </c>
      <c r="B5" s="88"/>
      <c r="C5" s="90">
        <f>IF(B5=1,(Tabelle58[[#This Row],[R/Be:]]+Tabelle6[[#This Row],[Versand/€:]])*2.29%+0.35,0)</f>
        <v>0</v>
      </c>
      <c r="D5" s="84"/>
      <c r="E5" s="91">
        <f>(Tabelle58[[#This Row],[R/Be:]]+Tabelle6[[#This Row],[Käuferschutz Rechnung/€:]]+Tabelle6[[#This Row],[Versand/€:]])*Tabelle6[[#This Row],[RB/%:]]</f>
        <v>0</v>
      </c>
      <c r="F5" s="86"/>
    </row>
    <row r="6" spans="1:6" x14ac:dyDescent="0.25">
      <c r="A6" s="89">
        <f>ROUND((Tabelle58[[#This Row],[R/Be:]]+Tabelle6[[#This Row],[Käuferschutz Rechnung/€:]]+Tabelle6[[#This Row],[Versand/€:]])+IF(Tabelle58[[#This Row],[R/Be:]]&gt;50,-Tabelle6[[#This Row],[Versand/€:]],0)-Tabelle6[[#This Row],[Rabatt Betrag /€:]],2)</f>
        <v>0</v>
      </c>
      <c r="B6" s="88"/>
      <c r="C6" s="90">
        <f>IF(B6=1,(Tabelle58[[#This Row],[R/Be:]]+Tabelle6[[#This Row],[Versand/€:]])*2.29%+0.35,0)</f>
        <v>0</v>
      </c>
      <c r="D6" s="84"/>
      <c r="E6" s="91">
        <f>(Tabelle58[[#This Row],[R/Be:]]+Tabelle6[[#This Row],[Käuferschutz Rechnung/€:]]+Tabelle6[[#This Row],[Versand/€:]])*Tabelle6[[#This Row],[RB/%:]]</f>
        <v>0</v>
      </c>
      <c r="F6" s="86"/>
    </row>
    <row r="7" spans="1:6" x14ac:dyDescent="0.25">
      <c r="A7" s="89">
        <f>ROUND((Tabelle58[[#This Row],[R/Be:]]+Tabelle6[[#This Row],[Käuferschutz Rechnung/€:]]+Tabelle6[[#This Row],[Versand/€:]])+IF(Tabelle58[[#This Row],[R/Be:]]&gt;50,-Tabelle6[[#This Row],[Versand/€:]],0)-Tabelle6[[#This Row],[Rabatt Betrag /€:]],2)</f>
        <v>0</v>
      </c>
      <c r="B7" s="88"/>
      <c r="C7" s="90">
        <f>IF(B7=1,(Tabelle58[[#This Row],[R/Be:]]+Tabelle6[[#This Row],[Versand/€:]])*2.29%+0.35,0)</f>
        <v>0</v>
      </c>
      <c r="D7" s="85"/>
      <c r="E7" s="91">
        <f>(Tabelle58[[#This Row],[R/Be:]]+Tabelle6[[#This Row],[Käuferschutz Rechnung/€:]]+Tabelle6[[#This Row],[Versand/€:]])*Tabelle6[[#This Row],[RB/%:]]</f>
        <v>0</v>
      </c>
      <c r="F7" s="87"/>
    </row>
    <row r="8" spans="1:6" x14ac:dyDescent="0.25">
      <c r="A8" s="89">
        <f>ROUND((Tabelle58[[#This Row],[R/Be:]]+Tabelle6[[#This Row],[Käuferschutz Rechnung/€:]]+Tabelle6[[#This Row],[Versand/€:]])+IF(Tabelle58[[#This Row],[R/Be:]]&gt;50,-Tabelle6[[#This Row],[Versand/€:]],0)-Tabelle6[[#This Row],[Rabatt Betrag /€:]],2)</f>
        <v>0</v>
      </c>
      <c r="B8" s="88"/>
      <c r="C8" s="90">
        <f>IF(B8=1,(Tabelle58[[#This Row],[R/Be:]]+Tabelle6[[#This Row],[Versand/€:]])*2.29%+0.35,0)</f>
        <v>0</v>
      </c>
      <c r="D8" s="84"/>
      <c r="E8" s="91">
        <f>(Tabelle58[[#This Row],[R/Be:]]+Tabelle6[[#This Row],[Käuferschutz Rechnung/€:]]+Tabelle6[[#This Row],[Versand/€:]])*Tabelle6[[#This Row],[RB/%:]]</f>
        <v>0</v>
      </c>
      <c r="F8" s="86"/>
    </row>
    <row r="9" spans="1:6" x14ac:dyDescent="0.25">
      <c r="A9" s="89">
        <f>ROUND((Tabelle58[[#This Row],[R/Be:]]+Tabelle6[[#This Row],[Käuferschutz Rechnung/€:]]+Tabelle6[[#This Row],[Versand/€:]])+IF(Tabelle58[[#This Row],[R/Be:]]&gt;50,-Tabelle6[[#This Row],[Versand/€:]],0)-Tabelle6[[#This Row],[Rabatt Betrag /€:]],2)</f>
        <v>0</v>
      </c>
      <c r="B9" s="88"/>
      <c r="C9" s="90">
        <f>IF(B9=1,(Tabelle58[[#This Row],[R/Be:]]+Tabelle6[[#This Row],[Versand/€:]])*2.29%+0.35,0)</f>
        <v>0</v>
      </c>
      <c r="D9" s="84"/>
      <c r="E9" s="91">
        <f>(Tabelle58[[#This Row],[R/Be:]]+Tabelle6[[#This Row],[Käuferschutz Rechnung/€:]]+Tabelle6[[#This Row],[Versand/€:]])*Tabelle6[[#This Row],[RB/%:]]</f>
        <v>0</v>
      </c>
      <c r="F9" s="86"/>
    </row>
    <row r="10" spans="1:6" x14ac:dyDescent="0.25">
      <c r="A10" s="89">
        <f>ROUND((Tabelle58[[#This Row],[R/Be:]]+Tabelle6[[#This Row],[Käuferschutz Rechnung/€:]]+Tabelle6[[#This Row],[Versand/€:]])+IF(Tabelle58[[#This Row],[R/Be:]]&gt;50,-Tabelle6[[#This Row],[Versand/€:]],0)-Tabelle6[[#This Row],[Rabatt Betrag /€:]],2)</f>
        <v>0</v>
      </c>
      <c r="B10" s="88"/>
      <c r="C10" s="90">
        <f>IF(B10=1,(Tabelle58[[#This Row],[R/Be:]]+Tabelle6[[#This Row],[Versand/€:]])*2.29%+0.35,0)</f>
        <v>0</v>
      </c>
      <c r="D10" s="84"/>
      <c r="E10" s="91">
        <f>(Tabelle58[[#This Row],[R/Be:]]+Tabelle6[[#This Row],[Käuferschutz Rechnung/€:]]+Tabelle6[[#This Row],[Versand/€:]])*Tabelle6[[#This Row],[RB/%:]]</f>
        <v>0</v>
      </c>
      <c r="F10" s="86"/>
    </row>
  </sheetData>
  <sheetProtection algorithmName="SHA-512" hashValue="soJ9hxqrog2nfh6KNNbJyxilytZBCb36zQAeiwYG8LVpa7D+pnTGTdqNkokcxqihiy9KsDPauyyIWLW5CTt6xA==" saltValue="iOI5ykWUn8xHRJEGxYzJcg==" spinCount="100000" sheet="1" objects="1" scenarios="1"/>
  <protectedRanges>
    <protectedRange sqref="F2:F10" name="Bereich3"/>
    <protectedRange sqref="D2:D10" name="Bereich2"/>
    <protectedRange sqref="B2:B10" name="Bereich1"/>
  </protectedRanges>
  <phoneticPr fontId="2" type="noConversion"/>
  <conditionalFormatting sqref="F2:F10">
    <cfRule type="expression" dxfId="0" priority="1">
      <formula>$A2&gt;50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125D-D3B7-4339-926D-A4543E1D2475}">
  <sheetPr codeName="Tabelle6"/>
  <dimension ref="A1:U100"/>
  <sheetViews>
    <sheetView zoomScale="90" zoomScaleNormal="90" workbookViewId="0">
      <pane ySplit="1" topLeftCell="A41" activePane="bottomLeft" state="frozen"/>
      <selection pane="bottomLeft" activeCell="J61" sqref="J61"/>
    </sheetView>
  </sheetViews>
  <sheetFormatPr baseColWidth="10" defaultColWidth="11.42578125" defaultRowHeight="15" x14ac:dyDescent="0.25"/>
  <cols>
    <col min="1" max="1" width="23.42578125" style="3" customWidth="1"/>
    <col min="2" max="2" width="25.7109375" style="32" customWidth="1"/>
    <col min="3" max="3" width="17.5703125" style="3" customWidth="1"/>
    <col min="4" max="4" width="15" style="3" customWidth="1"/>
    <col min="5" max="5" width="11.42578125" style="3"/>
    <col min="6" max="6" width="24.85546875" style="31" customWidth="1"/>
    <col min="7" max="7" width="16.5703125" style="32" customWidth="1"/>
    <col min="8" max="8" width="21.85546875" style="3" customWidth="1"/>
    <col min="9" max="9" width="25" style="3" customWidth="1"/>
    <col min="10" max="10" width="22.85546875" style="3" customWidth="1"/>
    <col min="11" max="11" width="23.42578125" style="3" customWidth="1"/>
    <col min="12" max="12" width="13.85546875" style="3" customWidth="1"/>
    <col min="13" max="13" width="11.7109375" style="3" bestFit="1" customWidth="1"/>
    <col min="14" max="14" width="11.5703125" style="3" bestFit="1" customWidth="1"/>
    <col min="15" max="15" width="15.5703125" style="3" bestFit="1" customWidth="1"/>
    <col min="16" max="16" width="17.140625" style="3" customWidth="1"/>
    <col min="17" max="17" width="15.5703125" style="3" customWidth="1"/>
    <col min="18" max="18" width="19" style="3" customWidth="1"/>
    <col min="19" max="19" width="17.5703125" style="3" customWidth="1"/>
    <col min="20" max="20" width="11.5703125" style="3" bestFit="1" customWidth="1"/>
    <col min="21" max="21" width="11.42578125" style="3"/>
    <col min="22" max="22" width="11.5703125" style="3" bestFit="1" customWidth="1"/>
    <col min="23" max="16384" width="11.42578125" style="3"/>
  </cols>
  <sheetData>
    <row r="1" spans="1:21" x14ac:dyDescent="0.25">
      <c r="A1" s="7" t="s">
        <v>66</v>
      </c>
      <c r="B1" s="35" t="s">
        <v>134</v>
      </c>
      <c r="C1" s="10" t="s">
        <v>13</v>
      </c>
      <c r="D1" s="10" t="s">
        <v>19</v>
      </c>
      <c r="E1" s="11" t="s">
        <v>58</v>
      </c>
      <c r="F1" s="66" t="s">
        <v>168</v>
      </c>
      <c r="G1" s="67" t="s">
        <v>169</v>
      </c>
      <c r="I1" s="99" t="s">
        <v>4</v>
      </c>
      <c r="J1" s="100" t="s">
        <v>66</v>
      </c>
      <c r="K1" s="101" t="s">
        <v>5</v>
      </c>
      <c r="L1" s="3" t="s">
        <v>9</v>
      </c>
      <c r="Q1" s="3" t="s">
        <v>59</v>
      </c>
    </row>
    <row r="2" spans="1:21" x14ac:dyDescent="0.25">
      <c r="A2" s="104">
        <v>0</v>
      </c>
      <c r="B2" s="116">
        <v>0</v>
      </c>
      <c r="C2" s="96" t="s">
        <v>105</v>
      </c>
      <c r="D2" s="96" t="s">
        <v>106</v>
      </c>
      <c r="E2" s="96" t="s">
        <v>106</v>
      </c>
      <c r="F2" s="92" t="s">
        <v>106</v>
      </c>
      <c r="G2" s="93" t="s">
        <v>106</v>
      </c>
      <c r="H2" s="14"/>
      <c r="I2" s="96" t="s">
        <v>105</v>
      </c>
      <c r="J2" s="102">
        <v>0</v>
      </c>
      <c r="K2" s="103">
        <v>0</v>
      </c>
      <c r="L2" s="96" t="s">
        <v>10</v>
      </c>
      <c r="M2" s="96"/>
      <c r="P2" s="96"/>
      <c r="Q2" s="96" t="s">
        <v>60</v>
      </c>
      <c r="R2" s="96" t="s">
        <v>61</v>
      </c>
      <c r="S2" s="96"/>
      <c r="T2" s="96" t="s">
        <v>80</v>
      </c>
      <c r="U2" s="96"/>
    </row>
    <row r="3" spans="1:21" x14ac:dyDescent="0.25">
      <c r="A3" s="105">
        <v>10101</v>
      </c>
      <c r="B3" s="116">
        <f>ROUND(G3+(G3/100*10),3)</f>
        <v>3.1E-2</v>
      </c>
      <c r="C3" s="96" t="s">
        <v>22</v>
      </c>
      <c r="D3" s="96" t="s">
        <v>0</v>
      </c>
      <c r="E3" s="96" t="s">
        <v>14</v>
      </c>
      <c r="F3" s="92">
        <v>27.99</v>
      </c>
      <c r="G3" s="93">
        <f t="shared" ref="G3:G11" si="0">F3/1000</f>
        <v>2.7989999999999998E-2</v>
      </c>
      <c r="H3" s="17"/>
      <c r="I3" s="96" t="s">
        <v>6</v>
      </c>
      <c r="J3" s="102">
        <v>10001</v>
      </c>
      <c r="K3" s="103">
        <v>1.99</v>
      </c>
      <c r="L3" s="96" t="s">
        <v>11</v>
      </c>
      <c r="M3" s="96"/>
      <c r="P3" s="96"/>
      <c r="Q3" s="97">
        <v>1</v>
      </c>
      <c r="R3" s="97">
        <v>1</v>
      </c>
      <c r="S3" s="96"/>
      <c r="T3" s="97">
        <v>1</v>
      </c>
      <c r="U3" s="96"/>
    </row>
    <row r="4" spans="1:21" x14ac:dyDescent="0.25">
      <c r="A4" s="104">
        <v>10201</v>
      </c>
      <c r="B4" s="116">
        <f>ROUND(G4+(G4/100*10),3)</f>
        <v>3.1E-2</v>
      </c>
      <c r="C4" s="96" t="s">
        <v>22</v>
      </c>
      <c r="D4" s="96" t="s">
        <v>0</v>
      </c>
      <c r="E4" s="96" t="s">
        <v>16</v>
      </c>
      <c r="F4" s="92">
        <v>27.99</v>
      </c>
      <c r="G4" s="93">
        <f t="shared" si="0"/>
        <v>2.7989999999999998E-2</v>
      </c>
      <c r="H4" s="17"/>
      <c r="I4" s="96" t="s">
        <v>7</v>
      </c>
      <c r="J4" s="102">
        <v>20001</v>
      </c>
      <c r="K4" s="103"/>
      <c r="L4" s="96" t="s">
        <v>12</v>
      </c>
      <c r="M4" s="96"/>
      <c r="P4" s="96"/>
      <c r="Q4" s="96"/>
      <c r="R4" s="96"/>
      <c r="S4" s="96"/>
      <c r="T4" s="96"/>
      <c r="U4" s="96"/>
    </row>
    <row r="5" spans="1:21" x14ac:dyDescent="0.25">
      <c r="A5" s="104">
        <v>10301</v>
      </c>
      <c r="B5" s="116">
        <f>ROUND(G5+(G5/100*10),3)</f>
        <v>3.1E-2</v>
      </c>
      <c r="C5" s="96" t="s">
        <v>22</v>
      </c>
      <c r="D5" s="96" t="s">
        <v>0</v>
      </c>
      <c r="E5" s="96" t="s">
        <v>15</v>
      </c>
      <c r="F5" s="92">
        <v>27.99</v>
      </c>
      <c r="G5" s="93">
        <f t="shared" si="0"/>
        <v>2.7989999999999998E-2</v>
      </c>
      <c r="H5" s="17"/>
      <c r="I5" s="96" t="s">
        <v>8</v>
      </c>
      <c r="J5" s="102">
        <v>30001</v>
      </c>
      <c r="K5" s="103"/>
      <c r="P5" s="96"/>
      <c r="Q5" s="96"/>
      <c r="R5" s="96" t="s">
        <v>104</v>
      </c>
      <c r="S5" s="98">
        <v>0</v>
      </c>
      <c r="T5" s="96"/>
      <c r="U5" s="96"/>
    </row>
    <row r="6" spans="1:21" x14ac:dyDescent="0.25">
      <c r="A6" s="104">
        <v>10401</v>
      </c>
      <c r="B6" s="116">
        <f t="shared" ref="B6:B15" si="1">ROUND(G6+(G6/100*10),3)</f>
        <v>3.1E-2</v>
      </c>
      <c r="C6" s="96" t="s">
        <v>22</v>
      </c>
      <c r="D6" s="96" t="s">
        <v>0</v>
      </c>
      <c r="E6" s="96" t="s">
        <v>62</v>
      </c>
      <c r="F6" s="92">
        <v>27.99</v>
      </c>
      <c r="G6" s="93">
        <f t="shared" si="0"/>
        <v>2.7989999999999998E-2</v>
      </c>
      <c r="H6" s="17"/>
      <c r="I6" s="96" t="s">
        <v>9</v>
      </c>
      <c r="J6" s="102">
        <v>40001</v>
      </c>
      <c r="K6" s="103">
        <v>1</v>
      </c>
      <c r="P6" s="96"/>
      <c r="Q6" s="96"/>
      <c r="R6" s="96"/>
      <c r="S6" s="96"/>
      <c r="T6" s="96"/>
      <c r="U6" s="96"/>
    </row>
    <row r="7" spans="1:21" x14ac:dyDescent="0.25">
      <c r="A7" s="104">
        <v>10501</v>
      </c>
      <c r="B7" s="116">
        <f t="shared" si="1"/>
        <v>3.1E-2</v>
      </c>
      <c r="C7" s="96" t="s">
        <v>22</v>
      </c>
      <c r="D7" s="96" t="s">
        <v>0</v>
      </c>
      <c r="E7" s="96" t="s">
        <v>63</v>
      </c>
      <c r="F7" s="92">
        <v>27.99</v>
      </c>
      <c r="G7" s="93">
        <f t="shared" si="0"/>
        <v>2.7989999999999998E-2</v>
      </c>
      <c r="H7" s="17"/>
      <c r="I7" s="96"/>
      <c r="J7" s="102"/>
      <c r="K7" s="103"/>
      <c r="P7" s="96" t="s">
        <v>91</v>
      </c>
      <c r="Q7" s="98">
        <v>1</v>
      </c>
      <c r="R7" s="96" t="s">
        <v>83</v>
      </c>
      <c r="S7" s="98">
        <v>1</v>
      </c>
      <c r="T7" s="96" t="s">
        <v>81</v>
      </c>
      <c r="U7" s="98">
        <v>1</v>
      </c>
    </row>
    <row r="8" spans="1:21" x14ac:dyDescent="0.25">
      <c r="A8" s="104">
        <v>10601</v>
      </c>
      <c r="B8" s="116">
        <f t="shared" si="1"/>
        <v>3.1E-2</v>
      </c>
      <c r="C8" s="96" t="s">
        <v>22</v>
      </c>
      <c r="D8" s="96" t="s">
        <v>0</v>
      </c>
      <c r="E8" s="96" t="s">
        <v>79</v>
      </c>
      <c r="F8" s="92">
        <v>27.99</v>
      </c>
      <c r="G8" s="93">
        <f t="shared" si="0"/>
        <v>2.7989999999999998E-2</v>
      </c>
      <c r="H8" s="17"/>
      <c r="I8" s="96"/>
      <c r="J8" s="102"/>
      <c r="K8" s="103"/>
      <c r="P8" s="96" t="s">
        <v>92</v>
      </c>
      <c r="Q8" s="98">
        <v>2</v>
      </c>
      <c r="R8" s="96" t="s">
        <v>84</v>
      </c>
      <c r="S8" s="98">
        <v>2</v>
      </c>
      <c r="T8" s="96" t="s">
        <v>82</v>
      </c>
      <c r="U8" s="98">
        <v>2</v>
      </c>
    </row>
    <row r="9" spans="1:21" x14ac:dyDescent="0.25">
      <c r="A9" s="104">
        <v>10701</v>
      </c>
      <c r="B9" s="116">
        <f t="shared" si="1"/>
        <v>3.1E-2</v>
      </c>
      <c r="C9" s="96" t="s">
        <v>22</v>
      </c>
      <c r="D9" s="96" t="s">
        <v>0</v>
      </c>
      <c r="E9" s="96" t="s">
        <v>64</v>
      </c>
      <c r="F9" s="92">
        <v>27.99</v>
      </c>
      <c r="G9" s="93">
        <f t="shared" si="0"/>
        <v>2.7989999999999998E-2</v>
      </c>
      <c r="H9" s="17"/>
      <c r="I9" s="96"/>
      <c r="J9" s="102"/>
      <c r="K9" s="103"/>
      <c r="P9" s="96" t="s">
        <v>95</v>
      </c>
      <c r="Q9" s="98">
        <v>3</v>
      </c>
      <c r="R9" s="96" t="s">
        <v>85</v>
      </c>
      <c r="S9" s="98">
        <v>3</v>
      </c>
      <c r="T9" s="96" t="s">
        <v>142</v>
      </c>
      <c r="U9" s="98">
        <v>3</v>
      </c>
    </row>
    <row r="10" spans="1:21" x14ac:dyDescent="0.25">
      <c r="A10" s="104">
        <v>10801</v>
      </c>
      <c r="B10" s="116">
        <f t="shared" si="1"/>
        <v>3.3000000000000002E-2</v>
      </c>
      <c r="C10" s="96" t="s">
        <v>22</v>
      </c>
      <c r="D10" s="96" t="s">
        <v>0</v>
      </c>
      <c r="E10" s="96" t="s">
        <v>65</v>
      </c>
      <c r="F10" s="92">
        <v>29.99</v>
      </c>
      <c r="G10" s="93">
        <f>F10/1000</f>
        <v>2.9989999999999999E-2</v>
      </c>
      <c r="H10" s="17"/>
      <c r="I10" s="96"/>
      <c r="J10" s="102"/>
      <c r="K10" s="103"/>
      <c r="P10" s="96" t="s">
        <v>93</v>
      </c>
      <c r="Q10" s="98">
        <v>4</v>
      </c>
      <c r="R10" s="96" t="s">
        <v>86</v>
      </c>
      <c r="S10" s="98">
        <v>4</v>
      </c>
      <c r="T10" s="96" t="s">
        <v>143</v>
      </c>
      <c r="U10" s="98">
        <v>4</v>
      </c>
    </row>
    <row r="11" spans="1:21" x14ac:dyDescent="0.25">
      <c r="A11" s="104">
        <v>10901</v>
      </c>
      <c r="B11" s="116">
        <f t="shared" si="1"/>
        <v>3.1E-2</v>
      </c>
      <c r="C11" s="96" t="s">
        <v>22</v>
      </c>
      <c r="D11" s="96" t="s">
        <v>0</v>
      </c>
      <c r="E11" s="96" t="s">
        <v>17</v>
      </c>
      <c r="F11" s="92">
        <v>27.99</v>
      </c>
      <c r="G11" s="93">
        <f t="shared" si="0"/>
        <v>2.7989999999999998E-2</v>
      </c>
      <c r="H11" s="17"/>
      <c r="I11" s="96"/>
      <c r="J11" s="102"/>
      <c r="K11" s="103"/>
      <c r="P11" s="96" t="s">
        <v>94</v>
      </c>
      <c r="Q11" s="98">
        <v>5</v>
      </c>
      <c r="R11" s="96" t="s">
        <v>87</v>
      </c>
      <c r="S11" s="98">
        <v>5</v>
      </c>
      <c r="T11" s="96"/>
      <c r="U11" s="96"/>
    </row>
    <row r="12" spans="1:21" x14ac:dyDescent="0.25">
      <c r="A12" s="106"/>
      <c r="B12" s="116"/>
      <c r="C12" s="96"/>
      <c r="D12" s="96"/>
      <c r="E12" s="96"/>
      <c r="F12" s="94"/>
      <c r="G12" s="93"/>
      <c r="H12" s="17"/>
      <c r="I12" s="96"/>
      <c r="J12" s="102"/>
      <c r="K12" s="103"/>
      <c r="P12" s="96"/>
      <c r="Q12" s="96"/>
      <c r="R12" s="96" t="s">
        <v>88</v>
      </c>
      <c r="S12" s="98">
        <v>6</v>
      </c>
      <c r="T12" s="96"/>
      <c r="U12" s="96"/>
    </row>
    <row r="13" spans="1:21" x14ac:dyDescent="0.25">
      <c r="A13" s="107">
        <v>11101</v>
      </c>
      <c r="B13" s="116">
        <f t="shared" si="1"/>
        <v>3.1E-2</v>
      </c>
      <c r="C13" s="96" t="s">
        <v>22</v>
      </c>
      <c r="D13" s="96" t="s">
        <v>140</v>
      </c>
      <c r="E13" s="96" t="s">
        <v>14</v>
      </c>
      <c r="F13" s="94">
        <v>27.99</v>
      </c>
      <c r="G13" s="93">
        <f>F13/1000</f>
        <v>2.7989999999999998E-2</v>
      </c>
      <c r="H13" s="17"/>
      <c r="P13" s="96" t="s">
        <v>96</v>
      </c>
      <c r="Q13" s="96">
        <v>21</v>
      </c>
      <c r="R13" s="96" t="s">
        <v>89</v>
      </c>
      <c r="S13" s="98">
        <v>7</v>
      </c>
      <c r="T13" s="96"/>
      <c r="U13" s="96"/>
    </row>
    <row r="14" spans="1:21" x14ac:dyDescent="0.25">
      <c r="A14" s="107">
        <v>11201</v>
      </c>
      <c r="B14" s="116">
        <f t="shared" si="1"/>
        <v>3.1E-2</v>
      </c>
      <c r="C14" s="96" t="s">
        <v>22</v>
      </c>
      <c r="D14" s="96" t="s">
        <v>140</v>
      </c>
      <c r="E14" s="96" t="s">
        <v>16</v>
      </c>
      <c r="F14" s="94">
        <v>27.99</v>
      </c>
      <c r="G14" s="93">
        <f>F14/1000</f>
        <v>2.7989999999999998E-2</v>
      </c>
      <c r="H14" s="17"/>
      <c r="P14" s="96" t="s">
        <v>97</v>
      </c>
      <c r="Q14" s="96">
        <v>11</v>
      </c>
      <c r="R14" s="96" t="s">
        <v>90</v>
      </c>
      <c r="S14" s="98">
        <v>8</v>
      </c>
      <c r="T14" s="96"/>
      <c r="U14" s="96"/>
    </row>
    <row r="15" spans="1:21" x14ac:dyDescent="0.25">
      <c r="A15" s="108">
        <v>11301</v>
      </c>
      <c r="B15" s="116">
        <f t="shared" si="1"/>
        <v>3.1E-2</v>
      </c>
      <c r="C15" s="96" t="s">
        <v>22</v>
      </c>
      <c r="D15" s="96" t="s">
        <v>140</v>
      </c>
      <c r="E15" s="96" t="s">
        <v>15</v>
      </c>
      <c r="F15" s="94">
        <v>27.99</v>
      </c>
      <c r="G15" s="93">
        <f>F15/1000</f>
        <v>2.7989999999999998E-2</v>
      </c>
      <c r="H15" s="17"/>
      <c r="P15" s="96"/>
      <c r="Q15" s="96"/>
      <c r="R15" s="96" t="s">
        <v>101</v>
      </c>
      <c r="S15" s="98">
        <v>9</v>
      </c>
      <c r="T15" s="96"/>
      <c r="U15" s="96"/>
    </row>
    <row r="16" spans="1:21" x14ac:dyDescent="0.25">
      <c r="A16" s="65"/>
      <c r="B16" s="116"/>
      <c r="C16" s="96"/>
      <c r="D16" s="96"/>
      <c r="E16" s="96"/>
      <c r="F16" s="94"/>
      <c r="G16" s="93"/>
      <c r="H16" s="17"/>
      <c r="P16" s="96" t="s">
        <v>103</v>
      </c>
      <c r="Q16" s="96">
        <v>12</v>
      </c>
      <c r="R16" s="96"/>
      <c r="S16" s="96"/>
      <c r="T16" s="96"/>
      <c r="U16" s="96"/>
    </row>
    <row r="17" spans="1:21" x14ac:dyDescent="0.25">
      <c r="A17" s="109">
        <v>20101</v>
      </c>
      <c r="B17" s="116">
        <f>ROUND(G17+(G17/100*10),3)</f>
        <v>3.1E-2</v>
      </c>
      <c r="C17" s="96" t="s">
        <v>22</v>
      </c>
      <c r="D17" s="96" t="s">
        <v>1</v>
      </c>
      <c r="E17" s="96" t="s">
        <v>14</v>
      </c>
      <c r="F17" s="92">
        <v>27.99</v>
      </c>
      <c r="G17" s="93">
        <f>F17/1000</f>
        <v>2.7989999999999998E-2</v>
      </c>
      <c r="H17" s="17"/>
      <c r="P17" s="96"/>
      <c r="Q17" s="96"/>
      <c r="R17" s="96"/>
      <c r="S17" s="96"/>
      <c r="T17" s="96"/>
      <c r="U17" s="96"/>
    </row>
    <row r="18" spans="1:21" x14ac:dyDescent="0.25">
      <c r="A18" s="109">
        <v>20201</v>
      </c>
      <c r="B18" s="116">
        <f>ROUND(G18+(G18/100*10),3)</f>
        <v>3.1E-2</v>
      </c>
      <c r="C18" s="96" t="s">
        <v>22</v>
      </c>
      <c r="D18" s="96" t="s">
        <v>1</v>
      </c>
      <c r="E18" s="96" t="s">
        <v>16</v>
      </c>
      <c r="F18" s="92">
        <v>27.99</v>
      </c>
      <c r="G18" s="93">
        <f>F18/1000</f>
        <v>2.7989999999999998E-2</v>
      </c>
      <c r="H18" s="17"/>
      <c r="P18" s="96"/>
      <c r="Q18" s="96"/>
      <c r="R18" s="96"/>
      <c r="S18" s="96"/>
      <c r="T18" s="96"/>
      <c r="U18" s="96"/>
    </row>
    <row r="19" spans="1:21" x14ac:dyDescent="0.25">
      <c r="A19" s="104">
        <v>20301</v>
      </c>
      <c r="B19" s="116">
        <f>ROUND(G19+(G19/100*10),3)</f>
        <v>3.1E-2</v>
      </c>
      <c r="C19" s="96" t="s">
        <v>22</v>
      </c>
      <c r="D19" s="96" t="s">
        <v>1</v>
      </c>
      <c r="E19" s="96" t="s">
        <v>15</v>
      </c>
      <c r="F19" s="92">
        <v>27.99</v>
      </c>
      <c r="G19" s="93">
        <f>F19/1000</f>
        <v>2.7989999999999998E-2</v>
      </c>
      <c r="H19" s="17"/>
      <c r="P19" s="96" t="s">
        <v>99</v>
      </c>
      <c r="Q19" s="96" t="s">
        <v>100</v>
      </c>
      <c r="R19" s="96" t="s">
        <v>98</v>
      </c>
      <c r="S19" s="96"/>
      <c r="T19" s="96"/>
      <c r="U19" s="96"/>
    </row>
    <row r="20" spans="1:21" x14ac:dyDescent="0.25">
      <c r="A20" s="104">
        <v>20401</v>
      </c>
      <c r="B20" s="116">
        <f>ROUND(G20+(G20/100*10),3)</f>
        <v>3.1E-2</v>
      </c>
      <c r="C20" s="96" t="s">
        <v>22</v>
      </c>
      <c r="D20" s="96" t="s">
        <v>1</v>
      </c>
      <c r="E20" s="96" t="s">
        <v>62</v>
      </c>
      <c r="F20" s="92">
        <v>27.99</v>
      </c>
      <c r="G20" s="93">
        <f>F20/1000</f>
        <v>2.7989999999999998E-2</v>
      </c>
      <c r="H20" s="17"/>
    </row>
    <row r="21" spans="1:21" x14ac:dyDescent="0.25">
      <c r="A21" s="104">
        <v>20501</v>
      </c>
      <c r="B21" s="116">
        <f>ROUND(G21+(G21/100*10),3)</f>
        <v>3.1E-2</v>
      </c>
      <c r="C21" s="96" t="s">
        <v>22</v>
      </c>
      <c r="D21" s="96" t="s">
        <v>1</v>
      </c>
      <c r="E21" s="96" t="s">
        <v>63</v>
      </c>
      <c r="F21" s="92">
        <v>27.99</v>
      </c>
      <c r="G21" s="93">
        <f>F21/1000</f>
        <v>2.7989999999999998E-2</v>
      </c>
      <c r="H21" s="17"/>
    </row>
    <row r="22" spans="1:21" x14ac:dyDescent="0.25">
      <c r="A22" s="65"/>
      <c r="B22" s="116"/>
      <c r="C22" s="96"/>
      <c r="D22" s="96"/>
      <c r="E22" s="96"/>
      <c r="F22" s="94"/>
      <c r="G22" s="93"/>
      <c r="H22" s="17"/>
    </row>
    <row r="23" spans="1:21" x14ac:dyDescent="0.25">
      <c r="A23" s="110">
        <v>30101</v>
      </c>
      <c r="B23" s="116">
        <f>ROUND(G23+(G23/100*10),3)</f>
        <v>3.1E-2</v>
      </c>
      <c r="C23" s="96" t="s">
        <v>22</v>
      </c>
      <c r="D23" s="96" t="s">
        <v>35</v>
      </c>
      <c r="E23" s="96" t="s">
        <v>14</v>
      </c>
      <c r="F23" s="92">
        <v>27.99</v>
      </c>
      <c r="G23" s="93">
        <f>F23/1000</f>
        <v>2.7989999999999998E-2</v>
      </c>
      <c r="H23" s="17"/>
    </row>
    <row r="24" spans="1:21" x14ac:dyDescent="0.25">
      <c r="A24" s="111">
        <v>30201</v>
      </c>
      <c r="B24" s="116">
        <f>ROUND(G24+(G24/100*10),3)</f>
        <v>3.1E-2</v>
      </c>
      <c r="C24" s="96" t="s">
        <v>22</v>
      </c>
      <c r="D24" s="96" t="s">
        <v>35</v>
      </c>
      <c r="E24" s="96" t="s">
        <v>16</v>
      </c>
      <c r="F24" s="92">
        <v>27.99</v>
      </c>
      <c r="G24" s="93">
        <f>F24/1000</f>
        <v>2.7989999999999998E-2</v>
      </c>
      <c r="H24" s="17"/>
    </row>
    <row r="25" spans="1:21" x14ac:dyDescent="0.25">
      <c r="A25" s="112">
        <v>30301</v>
      </c>
      <c r="B25" s="116">
        <f>ROUND(G25+(G25/100*10),3)</f>
        <v>3.1E-2</v>
      </c>
      <c r="C25" s="96" t="s">
        <v>22</v>
      </c>
      <c r="D25" s="96" t="s">
        <v>35</v>
      </c>
      <c r="E25" s="96" t="s">
        <v>15</v>
      </c>
      <c r="F25" s="92">
        <v>27.99</v>
      </c>
      <c r="G25" s="93">
        <f>F25/1000</f>
        <v>2.7989999999999998E-2</v>
      </c>
      <c r="H25" s="17"/>
    </row>
    <row r="26" spans="1:21" x14ac:dyDescent="0.25">
      <c r="A26" s="112">
        <v>30401</v>
      </c>
      <c r="B26" s="116">
        <f>ROUND(G26+(G26/100*10),3)</f>
        <v>3.1E-2</v>
      </c>
      <c r="C26" s="96" t="s">
        <v>22</v>
      </c>
      <c r="D26" s="96" t="s">
        <v>35</v>
      </c>
      <c r="E26" s="96" t="s">
        <v>62</v>
      </c>
      <c r="F26" s="92">
        <v>27.99</v>
      </c>
      <c r="G26" s="93">
        <f>F26/1000</f>
        <v>2.7989999999999998E-2</v>
      </c>
      <c r="H26" s="17"/>
    </row>
    <row r="27" spans="1:21" x14ac:dyDescent="0.25">
      <c r="A27" s="65"/>
      <c r="B27" s="116"/>
      <c r="C27" s="96"/>
      <c r="D27" s="96"/>
      <c r="E27" s="96"/>
      <c r="F27" s="94"/>
      <c r="G27" s="93"/>
      <c r="H27" s="17"/>
      <c r="I27" s="52" t="s">
        <v>109</v>
      </c>
      <c r="J27" s="52"/>
    </row>
    <row r="28" spans="1:21" x14ac:dyDescent="0.25">
      <c r="A28" s="104">
        <v>40101</v>
      </c>
      <c r="B28" s="116">
        <f>ROUND(G28+(G28/100*10),3)</f>
        <v>5.8999999999999997E-2</v>
      </c>
      <c r="C28" s="96" t="s">
        <v>22</v>
      </c>
      <c r="D28" s="96" t="s">
        <v>67</v>
      </c>
      <c r="E28" s="96" t="s">
        <v>14</v>
      </c>
      <c r="F28" s="92">
        <v>53.99</v>
      </c>
      <c r="G28" s="93">
        <f>F28/1000</f>
        <v>5.3990000000000003E-2</v>
      </c>
      <c r="H28" s="17"/>
      <c r="I28" s="52" t="s">
        <v>110</v>
      </c>
      <c r="J28" s="52"/>
    </row>
    <row r="29" spans="1:21" x14ac:dyDescent="0.25">
      <c r="A29" s="104">
        <v>40201</v>
      </c>
      <c r="B29" s="116">
        <f>ROUND(G29+(G29/100*10),3)</f>
        <v>5.8999999999999997E-2</v>
      </c>
      <c r="C29" s="96" t="s">
        <v>22</v>
      </c>
      <c r="D29" s="96" t="s">
        <v>67</v>
      </c>
      <c r="E29" s="96" t="s">
        <v>16</v>
      </c>
      <c r="F29" s="92">
        <v>53.99</v>
      </c>
      <c r="G29" s="93">
        <f>F29/1000</f>
        <v>5.3990000000000003E-2</v>
      </c>
      <c r="H29" s="17"/>
    </row>
    <row r="30" spans="1:21" x14ac:dyDescent="0.25">
      <c r="A30" s="65"/>
      <c r="B30" s="116"/>
      <c r="C30" s="96"/>
      <c r="D30" s="96"/>
      <c r="E30" s="96"/>
      <c r="F30" s="94"/>
      <c r="G30" s="93"/>
      <c r="H30" s="17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1" x14ac:dyDescent="0.25">
      <c r="A31" s="109">
        <v>120201</v>
      </c>
      <c r="B31" s="116">
        <f>ROUND(G31+(G31/100*10),3)</f>
        <v>4.2999999999999997E-2</v>
      </c>
      <c r="C31" s="96" t="s">
        <v>22</v>
      </c>
      <c r="D31" s="96" t="s">
        <v>102</v>
      </c>
      <c r="E31" s="96" t="s">
        <v>16</v>
      </c>
      <c r="F31" s="92">
        <v>38.99</v>
      </c>
      <c r="G31" s="93">
        <f>F31/1000</f>
        <v>3.8990000000000004E-2</v>
      </c>
      <c r="H31" s="17"/>
      <c r="I31" s="52"/>
      <c r="J31" s="52"/>
      <c r="K31" s="52"/>
      <c r="L31" s="52"/>
      <c r="M31" s="52"/>
      <c r="N31" s="52"/>
      <c r="O31" s="52"/>
      <c r="P31" s="52" t="s">
        <v>78</v>
      </c>
      <c r="Q31" s="52" t="s">
        <v>26</v>
      </c>
      <c r="R31" s="52"/>
      <c r="S31" s="52" t="s">
        <v>78</v>
      </c>
      <c r="T31" s="52" t="s">
        <v>26</v>
      </c>
    </row>
    <row r="32" spans="1:21" x14ac:dyDescent="0.25">
      <c r="A32" s="65"/>
      <c r="B32" s="116"/>
      <c r="C32" s="96"/>
      <c r="D32" s="96"/>
      <c r="E32" s="96"/>
      <c r="F32" s="94"/>
      <c r="G32" s="93"/>
      <c r="H32" s="17"/>
      <c r="I32" s="52" t="s">
        <v>23</v>
      </c>
      <c r="J32" s="52" t="s">
        <v>24</v>
      </c>
      <c r="K32" s="52"/>
      <c r="L32" s="52"/>
      <c r="M32" s="52"/>
      <c r="N32" s="52"/>
      <c r="O32" s="52" t="s">
        <v>68</v>
      </c>
      <c r="P32" s="52">
        <v>135</v>
      </c>
      <c r="Q32" s="52">
        <v>0.13500000000000001</v>
      </c>
      <c r="R32" s="52" t="s">
        <v>69</v>
      </c>
      <c r="S32" s="52">
        <v>275</v>
      </c>
      <c r="T32" s="54">
        <v>0.27500000000000002</v>
      </c>
    </row>
    <row r="33" spans="1:20" x14ac:dyDescent="0.25">
      <c r="A33" s="65"/>
      <c r="B33" s="116"/>
      <c r="C33" s="96"/>
      <c r="D33" s="96"/>
      <c r="E33" s="96"/>
      <c r="F33" s="94"/>
      <c r="G33" s="93"/>
      <c r="H33" s="17"/>
      <c r="I33" s="52"/>
      <c r="J33" s="52"/>
      <c r="K33" s="52"/>
      <c r="L33" s="52"/>
      <c r="M33" s="52"/>
      <c r="N33" s="52"/>
      <c r="O33" s="52" t="s">
        <v>70</v>
      </c>
      <c r="P33" s="52">
        <v>80</v>
      </c>
      <c r="Q33" s="53">
        <v>0.08</v>
      </c>
      <c r="R33" s="52"/>
      <c r="S33" s="52"/>
      <c r="T33" s="52"/>
    </row>
    <row r="34" spans="1:20" x14ac:dyDescent="0.25">
      <c r="A34" s="109">
        <v>10102</v>
      </c>
      <c r="B34" s="116">
        <f t="shared" ref="B34:B42" si="2">ROUND(G34+(G34/100*10),3)</f>
        <v>2.9000000000000001E-2</v>
      </c>
      <c r="C34" s="96" t="s">
        <v>18</v>
      </c>
      <c r="D34" s="96" t="s">
        <v>0</v>
      </c>
      <c r="E34" s="96" t="s">
        <v>14</v>
      </c>
      <c r="F34" s="92">
        <v>25.99</v>
      </c>
      <c r="G34" s="93">
        <f t="shared" ref="G34:G42" si="3">F34/1000</f>
        <v>2.5989999999999999E-2</v>
      </c>
      <c r="H34" s="17"/>
      <c r="I34" s="52" t="s">
        <v>25</v>
      </c>
      <c r="J34" s="52" t="s">
        <v>26</v>
      </c>
      <c r="K34" s="52" t="s">
        <v>27</v>
      </c>
      <c r="L34" s="52"/>
      <c r="M34" s="52"/>
      <c r="N34" s="52"/>
      <c r="O34" s="52" t="s">
        <v>33</v>
      </c>
      <c r="P34" s="52">
        <v>45</v>
      </c>
      <c r="Q34" s="52">
        <v>4.4999999999999998E-2</v>
      </c>
      <c r="R34" s="52"/>
      <c r="S34" s="52"/>
      <c r="T34" s="52"/>
    </row>
    <row r="35" spans="1:20" x14ac:dyDescent="0.25">
      <c r="A35" s="109">
        <v>10202</v>
      </c>
      <c r="B35" s="116">
        <f t="shared" si="2"/>
        <v>2.9000000000000001E-2</v>
      </c>
      <c r="C35" s="96" t="s">
        <v>18</v>
      </c>
      <c r="D35" s="96" t="s">
        <v>0</v>
      </c>
      <c r="E35" s="96" t="s">
        <v>16</v>
      </c>
      <c r="F35" s="92">
        <v>25.99</v>
      </c>
      <c r="G35" s="93">
        <f t="shared" si="3"/>
        <v>2.5989999999999999E-2</v>
      </c>
      <c r="H35" s="17"/>
      <c r="I35" s="52" t="s">
        <v>28</v>
      </c>
      <c r="J35" s="52" t="s">
        <v>29</v>
      </c>
      <c r="K35" s="52"/>
      <c r="L35" s="52"/>
      <c r="M35" s="52"/>
      <c r="N35" s="52"/>
      <c r="O35" s="52"/>
      <c r="P35" s="52">
        <v>250</v>
      </c>
      <c r="Q35" s="54">
        <v>0.25</v>
      </c>
      <c r="R35" s="52"/>
      <c r="S35" s="52"/>
    </row>
    <row r="36" spans="1:20" x14ac:dyDescent="0.25">
      <c r="A36" s="104">
        <v>10302</v>
      </c>
      <c r="B36" s="116">
        <f t="shared" si="2"/>
        <v>2.9000000000000001E-2</v>
      </c>
      <c r="C36" s="96" t="s">
        <v>18</v>
      </c>
      <c r="D36" s="96" t="s">
        <v>0</v>
      </c>
      <c r="E36" s="96" t="s">
        <v>15</v>
      </c>
      <c r="F36" s="92">
        <v>25.99</v>
      </c>
      <c r="G36" s="93">
        <f t="shared" si="3"/>
        <v>2.5989999999999999E-2</v>
      </c>
      <c r="H36" s="17"/>
      <c r="I36" s="52" t="s">
        <v>30</v>
      </c>
      <c r="J36" s="52" t="s">
        <v>31</v>
      </c>
      <c r="K36" s="52" t="s">
        <v>32</v>
      </c>
      <c r="L36" s="52"/>
      <c r="M36" s="52"/>
      <c r="N36" s="52"/>
      <c r="O36" s="52"/>
      <c r="P36" s="52"/>
      <c r="Q36" s="52"/>
      <c r="R36" s="52"/>
      <c r="S36" s="52"/>
    </row>
    <row r="37" spans="1:20" x14ac:dyDescent="0.25">
      <c r="A37" s="104">
        <v>10402</v>
      </c>
      <c r="B37" s="116">
        <f t="shared" si="2"/>
        <v>2.9000000000000001E-2</v>
      </c>
      <c r="C37" s="96" t="s">
        <v>18</v>
      </c>
      <c r="D37" s="96" t="s">
        <v>0</v>
      </c>
      <c r="E37" s="96" t="s">
        <v>62</v>
      </c>
      <c r="F37" s="92">
        <v>25.99</v>
      </c>
      <c r="G37" s="93">
        <f t="shared" si="3"/>
        <v>2.5989999999999999E-2</v>
      </c>
      <c r="H37" s="17"/>
      <c r="I37" s="52"/>
      <c r="J37" s="52"/>
      <c r="K37" s="52"/>
      <c r="L37" s="52"/>
      <c r="M37" s="52"/>
      <c r="N37" s="52"/>
      <c r="O37" s="55"/>
      <c r="P37" s="52"/>
      <c r="Q37" s="52"/>
      <c r="R37" s="52"/>
      <c r="S37" s="52"/>
    </row>
    <row r="38" spans="1:20" x14ac:dyDescent="0.25">
      <c r="A38" s="104">
        <v>10502</v>
      </c>
      <c r="B38" s="116">
        <f t="shared" si="2"/>
        <v>2.9000000000000001E-2</v>
      </c>
      <c r="C38" s="96" t="s">
        <v>18</v>
      </c>
      <c r="D38" s="96" t="s">
        <v>0</v>
      </c>
      <c r="E38" s="96" t="s">
        <v>63</v>
      </c>
      <c r="F38" s="92">
        <v>25.99</v>
      </c>
      <c r="G38" s="93">
        <f t="shared" si="3"/>
        <v>2.5989999999999999E-2</v>
      </c>
      <c r="H38" s="17"/>
      <c r="I38" s="54">
        <v>0.61899999999999999</v>
      </c>
      <c r="J38" s="52" t="s">
        <v>135</v>
      </c>
      <c r="K38" s="52" t="s">
        <v>76</v>
      </c>
      <c r="L38" s="52"/>
      <c r="M38" s="52"/>
      <c r="N38" s="52"/>
      <c r="O38" s="52"/>
      <c r="P38" s="52"/>
      <c r="Q38" s="52"/>
      <c r="R38" s="52"/>
      <c r="S38" s="52"/>
    </row>
    <row r="39" spans="1:20" x14ac:dyDescent="0.25">
      <c r="A39" s="104">
        <v>10602</v>
      </c>
      <c r="B39" s="116">
        <f t="shared" si="2"/>
        <v>2.9000000000000001E-2</v>
      </c>
      <c r="C39" s="96" t="s">
        <v>18</v>
      </c>
      <c r="D39" s="96" t="s">
        <v>0</v>
      </c>
      <c r="E39" s="96" t="s">
        <v>79</v>
      </c>
      <c r="F39" s="92">
        <v>25.99</v>
      </c>
      <c r="G39" s="93">
        <f t="shared" si="3"/>
        <v>2.5989999999999999E-2</v>
      </c>
      <c r="H39" s="17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20" x14ac:dyDescent="0.25">
      <c r="A40" s="104">
        <v>10702</v>
      </c>
      <c r="B40" s="116">
        <f t="shared" si="2"/>
        <v>2.9000000000000001E-2</v>
      </c>
      <c r="C40" s="96" t="s">
        <v>18</v>
      </c>
      <c r="D40" s="96" t="s">
        <v>0</v>
      </c>
      <c r="E40" s="96" t="s">
        <v>64</v>
      </c>
      <c r="F40" s="92">
        <v>25.99</v>
      </c>
      <c r="G40" s="93">
        <f t="shared" si="3"/>
        <v>2.5989999999999999E-2</v>
      </c>
      <c r="H40" s="17"/>
      <c r="I40" s="52" t="s">
        <v>34</v>
      </c>
      <c r="J40" s="52"/>
      <c r="K40" s="52"/>
      <c r="L40" s="52" t="s">
        <v>33</v>
      </c>
      <c r="M40" s="53">
        <v>0.18</v>
      </c>
      <c r="N40" s="52" t="s">
        <v>136</v>
      </c>
      <c r="O40" s="55">
        <v>1.98</v>
      </c>
      <c r="P40" s="52"/>
      <c r="Q40" s="52" t="s">
        <v>146</v>
      </c>
      <c r="R40" s="52" t="s">
        <v>144</v>
      </c>
      <c r="S40" s="52"/>
    </row>
    <row r="41" spans="1:20" x14ac:dyDescent="0.25">
      <c r="A41" s="104">
        <v>10802</v>
      </c>
      <c r="B41" s="116">
        <f t="shared" si="2"/>
        <v>2.9000000000000001E-2</v>
      </c>
      <c r="C41" s="96" t="s">
        <v>18</v>
      </c>
      <c r="D41" s="96" t="s">
        <v>0</v>
      </c>
      <c r="E41" s="96" t="s">
        <v>65</v>
      </c>
      <c r="F41" s="92">
        <v>25.99</v>
      </c>
      <c r="G41" s="93">
        <f t="shared" si="3"/>
        <v>2.5989999999999999E-2</v>
      </c>
      <c r="H41" s="17"/>
      <c r="I41" s="52" t="s">
        <v>2</v>
      </c>
      <c r="J41" s="53">
        <v>1.8</v>
      </c>
      <c r="K41" s="52" t="s">
        <v>136</v>
      </c>
      <c r="L41" s="52"/>
      <c r="M41" s="52">
        <v>3.0000000000000001E-3</v>
      </c>
      <c r="N41" s="52" t="s">
        <v>137</v>
      </c>
      <c r="O41" s="54">
        <f>0.033</f>
        <v>3.3000000000000002E-2</v>
      </c>
      <c r="P41" s="52"/>
      <c r="Q41" s="52" t="s">
        <v>145</v>
      </c>
      <c r="R41" s="54">
        <v>1.4999999999999999E-2</v>
      </c>
      <c r="S41" s="52"/>
    </row>
    <row r="42" spans="1:20" x14ac:dyDescent="0.25">
      <c r="A42" s="104">
        <v>10902</v>
      </c>
      <c r="B42" s="116">
        <f t="shared" si="2"/>
        <v>2.9000000000000001E-2</v>
      </c>
      <c r="C42" s="96" t="s">
        <v>18</v>
      </c>
      <c r="D42" s="96" t="s">
        <v>0</v>
      </c>
      <c r="E42" s="96" t="s">
        <v>17</v>
      </c>
      <c r="F42" s="92">
        <v>25.99</v>
      </c>
      <c r="G42" s="93">
        <f t="shared" si="3"/>
        <v>2.5989999999999999E-2</v>
      </c>
      <c r="H42" s="17"/>
      <c r="I42" s="52"/>
      <c r="J42" s="54">
        <v>0.03</v>
      </c>
      <c r="K42" s="52" t="s">
        <v>137</v>
      </c>
      <c r="L42" s="52"/>
      <c r="M42" s="52"/>
      <c r="N42" s="52"/>
      <c r="O42" s="52"/>
      <c r="P42" s="52"/>
      <c r="Q42" s="52" t="s">
        <v>148</v>
      </c>
      <c r="R42" s="54">
        <v>0.01</v>
      </c>
      <c r="S42" s="52"/>
    </row>
    <row r="43" spans="1:20" x14ac:dyDescent="0.25">
      <c r="A43" s="65"/>
      <c r="B43" s="116"/>
      <c r="C43" s="96"/>
      <c r="D43" s="96"/>
      <c r="E43" s="96"/>
      <c r="F43" s="94"/>
      <c r="G43" s="93"/>
      <c r="H43" s="17"/>
      <c r="I43" s="52"/>
      <c r="J43" s="52"/>
      <c r="K43" s="52"/>
      <c r="L43" s="52"/>
      <c r="M43" s="52"/>
      <c r="N43" s="52"/>
      <c r="O43" s="52"/>
      <c r="P43" s="52"/>
      <c r="Q43" s="52" t="s">
        <v>149</v>
      </c>
      <c r="R43" s="54">
        <v>5.0000000000000001E-3</v>
      </c>
      <c r="S43" s="52"/>
    </row>
    <row r="44" spans="1:20" x14ac:dyDescent="0.25">
      <c r="A44" s="104">
        <v>20102</v>
      </c>
      <c r="B44" s="116">
        <f>ROUND(G44+(G44/100*10),3)</f>
        <v>3.3000000000000002E-2</v>
      </c>
      <c r="C44" s="96" t="s">
        <v>18</v>
      </c>
      <c r="D44" s="96" t="s">
        <v>1</v>
      </c>
      <c r="E44" s="96" t="s">
        <v>14</v>
      </c>
      <c r="F44" s="92">
        <v>29.99</v>
      </c>
      <c r="G44" s="93">
        <f>F44/1000</f>
        <v>2.9989999999999999E-2</v>
      </c>
      <c r="H44" s="17"/>
      <c r="I44" s="52" t="s">
        <v>71</v>
      </c>
      <c r="J44" s="52" t="s">
        <v>72</v>
      </c>
      <c r="K44" s="52"/>
      <c r="L44" s="52"/>
      <c r="M44" s="52"/>
      <c r="N44" s="52"/>
      <c r="O44" s="52"/>
      <c r="P44" s="52"/>
      <c r="Q44" s="52"/>
      <c r="R44" s="52"/>
      <c r="S44" s="52"/>
    </row>
    <row r="45" spans="1:20" x14ac:dyDescent="0.25">
      <c r="A45" s="104">
        <v>20202</v>
      </c>
      <c r="B45" s="116">
        <f>ROUND(G45+(G45/100*10),3)</f>
        <v>3.3000000000000002E-2</v>
      </c>
      <c r="C45" s="96" t="s">
        <v>18</v>
      </c>
      <c r="D45" s="96" t="s">
        <v>1</v>
      </c>
      <c r="E45" s="96" t="s">
        <v>16</v>
      </c>
      <c r="F45" s="92">
        <v>29.99</v>
      </c>
      <c r="G45" s="93">
        <f>F45/1000</f>
        <v>2.9989999999999999E-2</v>
      </c>
      <c r="H45" s="17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20" x14ac:dyDescent="0.25">
      <c r="A46" s="104">
        <v>20302</v>
      </c>
      <c r="B46" s="116">
        <f>ROUND(G46+(G46/100*10),3)</f>
        <v>3.3000000000000002E-2</v>
      </c>
      <c r="C46" s="96" t="s">
        <v>18</v>
      </c>
      <c r="D46" s="96" t="s">
        <v>1</v>
      </c>
      <c r="E46" s="96" t="s">
        <v>15</v>
      </c>
      <c r="F46" s="92">
        <v>29.99</v>
      </c>
      <c r="G46" s="93">
        <f>F46/1000</f>
        <v>2.9989999999999999E-2</v>
      </c>
      <c r="H46" s="17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20" x14ac:dyDescent="0.25">
      <c r="A47" s="104">
        <v>20402</v>
      </c>
      <c r="B47" s="116">
        <f>ROUND(G47+(G47/100*10),3)</f>
        <v>3.3000000000000002E-2</v>
      </c>
      <c r="C47" s="96" t="s">
        <v>18</v>
      </c>
      <c r="D47" s="96" t="s">
        <v>1</v>
      </c>
      <c r="E47" s="96" t="s">
        <v>62</v>
      </c>
      <c r="F47" s="92">
        <v>29.99</v>
      </c>
      <c r="G47" s="93">
        <f>F47/1000</f>
        <v>2.9989999999999999E-2</v>
      </c>
      <c r="H47" s="17"/>
      <c r="I47" s="52" t="s">
        <v>73</v>
      </c>
      <c r="J47" s="52"/>
      <c r="K47" s="52"/>
      <c r="L47" s="52" t="s">
        <v>33</v>
      </c>
      <c r="M47" s="53">
        <v>2.2000000000000002</v>
      </c>
      <c r="N47" s="52" t="s">
        <v>136</v>
      </c>
      <c r="O47" s="55">
        <v>11</v>
      </c>
      <c r="P47" s="52"/>
      <c r="Q47" s="52"/>
      <c r="R47" s="52"/>
      <c r="S47" s="52"/>
    </row>
    <row r="48" spans="1:20" x14ac:dyDescent="0.25">
      <c r="A48" s="104">
        <v>20502</v>
      </c>
      <c r="B48" s="116">
        <f>ROUND(G48+(G48/100*10),3)</f>
        <v>3.3000000000000002E-2</v>
      </c>
      <c r="C48" s="96" t="s">
        <v>18</v>
      </c>
      <c r="D48" s="96" t="s">
        <v>1</v>
      </c>
      <c r="E48" s="96" t="s">
        <v>63</v>
      </c>
      <c r="F48" s="92">
        <v>29.99</v>
      </c>
      <c r="G48" s="93">
        <f>F48/1000</f>
        <v>2.9989999999999999E-2</v>
      </c>
      <c r="H48" s="17"/>
      <c r="I48" s="52" t="s">
        <v>2</v>
      </c>
      <c r="J48" s="56">
        <v>8.8000000000000007</v>
      </c>
      <c r="K48" s="52" t="s">
        <v>136</v>
      </c>
      <c r="L48" s="52"/>
      <c r="M48" s="52"/>
      <c r="N48" s="52"/>
      <c r="O48" s="56">
        <v>11</v>
      </c>
      <c r="P48" s="52"/>
      <c r="Q48" s="52"/>
      <c r="R48" s="52"/>
      <c r="S48" s="52"/>
    </row>
    <row r="49" spans="1:19" x14ac:dyDescent="0.25">
      <c r="A49" s="65"/>
      <c r="B49" s="116"/>
      <c r="C49" s="96"/>
      <c r="D49" s="96"/>
      <c r="E49" s="96"/>
      <c r="F49" s="94"/>
      <c r="G49" s="93"/>
      <c r="H49" s="17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1:19" x14ac:dyDescent="0.25">
      <c r="A50" s="104">
        <v>30102</v>
      </c>
      <c r="B50" s="116">
        <f t="shared" ref="B50:B61" si="4">ROUND(G50+(G50/100*10),3)</f>
        <v>3.3000000000000002E-2</v>
      </c>
      <c r="C50" s="96" t="s">
        <v>18</v>
      </c>
      <c r="D50" s="96" t="s">
        <v>35</v>
      </c>
      <c r="E50" s="96" t="s">
        <v>14</v>
      </c>
      <c r="F50" s="92">
        <v>29.97</v>
      </c>
      <c r="G50" s="93">
        <f t="shared" ref="G50:G61" si="5">F50/1000</f>
        <v>2.997E-2</v>
      </c>
      <c r="I50" s="52" t="s">
        <v>74</v>
      </c>
      <c r="J50" s="52" t="s">
        <v>75</v>
      </c>
      <c r="K50" s="52"/>
      <c r="L50" s="52"/>
      <c r="M50" s="52"/>
      <c r="N50" s="52"/>
      <c r="O50" s="52"/>
      <c r="P50" s="52"/>
      <c r="Q50" s="52"/>
      <c r="R50" s="52"/>
      <c r="S50" s="52"/>
    </row>
    <row r="51" spans="1:19" x14ac:dyDescent="0.25">
      <c r="A51" s="104">
        <v>30202</v>
      </c>
      <c r="B51" s="116">
        <f t="shared" si="4"/>
        <v>3.3000000000000002E-2</v>
      </c>
      <c r="C51" s="96" t="s">
        <v>18</v>
      </c>
      <c r="D51" s="96" t="s">
        <v>35</v>
      </c>
      <c r="E51" s="96" t="s">
        <v>16</v>
      </c>
      <c r="F51" s="92">
        <v>29.97</v>
      </c>
      <c r="G51" s="93">
        <f t="shared" si="5"/>
        <v>2.997E-2</v>
      </c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x14ac:dyDescent="0.25">
      <c r="A52" s="104">
        <v>30302</v>
      </c>
      <c r="B52" s="116">
        <f t="shared" si="4"/>
        <v>3.3000000000000002E-2</v>
      </c>
      <c r="C52" s="96" t="s">
        <v>18</v>
      </c>
      <c r="D52" s="96" t="s">
        <v>35</v>
      </c>
      <c r="E52" s="96" t="s">
        <v>15</v>
      </c>
      <c r="F52" s="92">
        <v>29.97</v>
      </c>
      <c r="G52" s="93">
        <f t="shared" si="5"/>
        <v>2.997E-2</v>
      </c>
      <c r="I52" s="52" t="s">
        <v>34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x14ac:dyDescent="0.25">
      <c r="A53" s="104">
        <v>30402</v>
      </c>
      <c r="B53" s="116">
        <f t="shared" si="4"/>
        <v>3.3000000000000002E-2</v>
      </c>
      <c r="C53" s="96" t="s">
        <v>18</v>
      </c>
      <c r="D53" s="96" t="s">
        <v>35</v>
      </c>
      <c r="E53" s="96" t="s">
        <v>62</v>
      </c>
      <c r="F53" s="92">
        <v>29.97</v>
      </c>
      <c r="G53" s="93">
        <f t="shared" si="5"/>
        <v>2.997E-2</v>
      </c>
      <c r="I53" s="52" t="s">
        <v>2</v>
      </c>
      <c r="J53" s="53">
        <v>2</v>
      </c>
      <c r="K53" s="52" t="s">
        <v>136</v>
      </c>
      <c r="L53" s="52" t="s">
        <v>158</v>
      </c>
      <c r="M53" s="53">
        <v>0.45</v>
      </c>
      <c r="N53" s="52" t="s">
        <v>136</v>
      </c>
      <c r="O53" s="55">
        <v>2.4500000000000002</v>
      </c>
      <c r="P53" s="52"/>
      <c r="Q53" s="52" t="s">
        <v>146</v>
      </c>
      <c r="R53" s="52" t="s">
        <v>160</v>
      </c>
      <c r="S53" s="52"/>
    </row>
    <row r="54" spans="1:19" x14ac:dyDescent="0.25">
      <c r="A54" s="113"/>
      <c r="B54" s="116">
        <f t="shared" si="4"/>
        <v>0</v>
      </c>
      <c r="C54" s="96"/>
      <c r="D54" s="96"/>
      <c r="E54" s="96"/>
      <c r="F54" s="94"/>
      <c r="G54" s="93">
        <f t="shared" si="5"/>
        <v>0</v>
      </c>
      <c r="I54" s="52"/>
      <c r="J54" s="54">
        <v>3.3000000000000002E-2</v>
      </c>
      <c r="K54" s="52" t="s">
        <v>137</v>
      </c>
      <c r="L54" s="52"/>
      <c r="M54" s="52">
        <v>7.4999999999999997E-3</v>
      </c>
      <c r="N54" s="52" t="s">
        <v>137</v>
      </c>
      <c r="O54" s="57">
        <v>4.0500000000000001E-2</v>
      </c>
      <c r="P54" s="52"/>
      <c r="Q54" s="52" t="s">
        <v>145</v>
      </c>
      <c r="R54" s="58">
        <v>0.03</v>
      </c>
      <c r="S54" s="58">
        <v>1.4999999999999999E-2</v>
      </c>
    </row>
    <row r="55" spans="1:19" x14ac:dyDescent="0.25">
      <c r="A55" s="113"/>
      <c r="B55" s="116">
        <f t="shared" si="4"/>
        <v>0</v>
      </c>
      <c r="C55" s="96"/>
      <c r="D55" s="96"/>
      <c r="E55" s="96"/>
      <c r="F55" s="94"/>
      <c r="G55" s="93">
        <f t="shared" si="5"/>
        <v>0</v>
      </c>
      <c r="I55" s="52"/>
      <c r="J55" s="52"/>
      <c r="K55" s="52"/>
      <c r="L55" s="52"/>
      <c r="M55" s="59">
        <v>7.4999999999999997E-3</v>
      </c>
      <c r="N55" s="52" t="s">
        <v>137</v>
      </c>
      <c r="O55" s="52" t="s">
        <v>162</v>
      </c>
      <c r="P55" s="52"/>
      <c r="Q55" s="52" t="s">
        <v>148</v>
      </c>
      <c r="R55" s="58">
        <v>1.4E-2</v>
      </c>
      <c r="S55" s="58">
        <v>6.0000000000000001E-3</v>
      </c>
    </row>
    <row r="56" spans="1:19" x14ac:dyDescent="0.25">
      <c r="A56" s="113"/>
      <c r="B56" s="116">
        <f t="shared" si="4"/>
        <v>0</v>
      </c>
      <c r="C56" s="96"/>
      <c r="D56" s="96"/>
      <c r="E56" s="96"/>
      <c r="F56" s="94"/>
      <c r="G56" s="93">
        <f t="shared" si="5"/>
        <v>0</v>
      </c>
      <c r="I56" s="52" t="s">
        <v>71</v>
      </c>
      <c r="J56" s="52" t="s">
        <v>72</v>
      </c>
      <c r="K56" s="52"/>
      <c r="L56" s="52"/>
      <c r="M56" s="52"/>
      <c r="N56" s="52"/>
      <c r="O56" s="60">
        <v>9</v>
      </c>
      <c r="P56" s="52"/>
      <c r="Q56" s="52" t="s">
        <v>149</v>
      </c>
      <c r="R56" s="58">
        <v>5.0000000000000001E-3</v>
      </c>
      <c r="S56" s="52" t="s">
        <v>162</v>
      </c>
    </row>
    <row r="57" spans="1:19" x14ac:dyDescent="0.25">
      <c r="A57" s="113"/>
      <c r="B57" s="116">
        <f t="shared" si="4"/>
        <v>0</v>
      </c>
      <c r="C57" s="96"/>
      <c r="D57" s="96"/>
      <c r="E57" s="96"/>
      <c r="F57" s="94"/>
      <c r="G57" s="93">
        <f t="shared" si="5"/>
        <v>0</v>
      </c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60">
        <v>13</v>
      </c>
    </row>
    <row r="58" spans="1:19" x14ac:dyDescent="0.25">
      <c r="A58" s="113"/>
      <c r="B58" s="116">
        <f t="shared" si="4"/>
        <v>0</v>
      </c>
      <c r="C58" s="96"/>
      <c r="D58" s="96"/>
      <c r="E58" s="96"/>
      <c r="F58" s="94"/>
      <c r="G58" s="93">
        <f t="shared" si="5"/>
        <v>0</v>
      </c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x14ac:dyDescent="0.25">
      <c r="A59" s="113"/>
      <c r="B59" s="116">
        <f t="shared" si="4"/>
        <v>0</v>
      </c>
      <c r="C59" s="96"/>
      <c r="D59" s="96"/>
      <c r="E59" s="96"/>
      <c r="F59" s="94"/>
      <c r="G59" s="93">
        <f t="shared" si="5"/>
        <v>0</v>
      </c>
      <c r="I59" s="52" t="s">
        <v>73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x14ac:dyDescent="0.25">
      <c r="A60" s="113"/>
      <c r="B60" s="116">
        <f t="shared" si="4"/>
        <v>0</v>
      </c>
      <c r="C60" s="96"/>
      <c r="D60" s="96"/>
      <c r="E60" s="96"/>
      <c r="F60" s="94"/>
      <c r="G60" s="93">
        <f t="shared" si="5"/>
        <v>0</v>
      </c>
      <c r="I60" s="52" t="s">
        <v>2</v>
      </c>
      <c r="J60" s="56">
        <v>13</v>
      </c>
      <c r="K60" s="52" t="s">
        <v>136</v>
      </c>
      <c r="L60" s="52" t="s">
        <v>163</v>
      </c>
      <c r="M60" s="61">
        <v>1.845</v>
      </c>
      <c r="N60" s="52" t="s">
        <v>136</v>
      </c>
      <c r="O60" s="62">
        <v>11.845000000000001</v>
      </c>
      <c r="P60" s="52"/>
      <c r="Q60" s="52" t="s">
        <v>159</v>
      </c>
      <c r="R60" s="53">
        <v>0.155</v>
      </c>
      <c r="S60" s="52" t="s">
        <v>136</v>
      </c>
    </row>
    <row r="61" spans="1:19" x14ac:dyDescent="0.25">
      <c r="A61" s="113"/>
      <c r="B61" s="116">
        <f t="shared" si="4"/>
        <v>0</v>
      </c>
      <c r="C61" s="96"/>
      <c r="D61" s="96"/>
      <c r="E61" s="96"/>
      <c r="F61" s="94"/>
      <c r="G61" s="93">
        <f t="shared" si="5"/>
        <v>0</v>
      </c>
      <c r="I61" s="52"/>
      <c r="J61" s="52">
        <v>0.16700000000000001</v>
      </c>
      <c r="K61" s="52" t="s">
        <v>137</v>
      </c>
      <c r="L61" s="52"/>
      <c r="M61" s="63">
        <v>3.075E-2</v>
      </c>
      <c r="N61" s="52" t="s">
        <v>137</v>
      </c>
      <c r="O61" s="62">
        <v>0.19700000000000001</v>
      </c>
      <c r="P61" s="52"/>
      <c r="Q61" s="52"/>
      <c r="R61" s="52"/>
      <c r="S61" s="52"/>
    </row>
    <row r="62" spans="1:19" x14ac:dyDescent="0.25">
      <c r="A62" s="65"/>
      <c r="B62" s="116"/>
      <c r="C62" s="117"/>
      <c r="D62" s="117"/>
      <c r="E62" s="117"/>
      <c r="F62" s="94"/>
      <c r="G62" s="9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x14ac:dyDescent="0.25">
      <c r="A63" s="65"/>
      <c r="B63" s="116"/>
      <c r="C63" s="117"/>
      <c r="D63" s="117"/>
      <c r="E63" s="117"/>
      <c r="F63" s="94"/>
      <c r="G63" s="93"/>
      <c r="I63" s="52" t="s">
        <v>74</v>
      </c>
      <c r="J63" s="52" t="s">
        <v>161</v>
      </c>
      <c r="K63" s="52"/>
      <c r="L63" s="52"/>
      <c r="M63" s="52"/>
      <c r="N63" s="52"/>
      <c r="O63" s="52"/>
      <c r="P63" s="52"/>
      <c r="Q63" s="52"/>
      <c r="R63" s="52"/>
      <c r="S63" s="52"/>
    </row>
    <row r="64" spans="1:19" x14ac:dyDescent="0.25">
      <c r="A64" s="114">
        <v>40103</v>
      </c>
      <c r="B64" s="116">
        <f>ROUND(G64+(G64/100*10),3)</f>
        <v>4.3999999999999997E-2</v>
      </c>
      <c r="C64" s="96" t="s">
        <v>138</v>
      </c>
      <c r="D64" s="96" t="s">
        <v>139</v>
      </c>
      <c r="E64" s="96" t="s">
        <v>14</v>
      </c>
      <c r="F64" s="94">
        <v>39.99</v>
      </c>
      <c r="G64" s="93">
        <f>F64/1000</f>
        <v>3.9990000000000005E-2</v>
      </c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</row>
    <row r="65" spans="1:19" x14ac:dyDescent="0.25">
      <c r="A65" s="107">
        <v>10304</v>
      </c>
      <c r="B65" s="116">
        <f>ROUND(G65+(G65/100*10),3)</f>
        <v>1.9E-2</v>
      </c>
      <c r="C65" s="96" t="s">
        <v>141</v>
      </c>
      <c r="D65" s="96" t="s">
        <v>0</v>
      </c>
      <c r="E65" s="96" t="s">
        <v>15</v>
      </c>
      <c r="F65" s="95">
        <v>17.48</v>
      </c>
      <c r="G65" s="93">
        <f>F65/1000</f>
        <v>1.7479999999999999E-2</v>
      </c>
      <c r="I65" s="52"/>
      <c r="J65" s="64"/>
      <c r="K65" s="62"/>
      <c r="L65" s="52"/>
      <c r="M65" s="52"/>
      <c r="N65" s="52"/>
      <c r="O65" s="52"/>
      <c r="P65" s="52"/>
      <c r="Q65" s="52"/>
      <c r="R65" s="52"/>
      <c r="S65" s="52"/>
    </row>
    <row r="66" spans="1:19" x14ac:dyDescent="0.25">
      <c r="A66" s="107">
        <v>10904</v>
      </c>
      <c r="B66" s="116">
        <f>ROUND(G66+(G66/100*10),3)</f>
        <v>1.9E-2</v>
      </c>
      <c r="C66" s="96" t="s">
        <v>141</v>
      </c>
      <c r="D66" s="96" t="s">
        <v>0</v>
      </c>
      <c r="E66" s="96" t="s">
        <v>17</v>
      </c>
      <c r="F66" s="95">
        <v>17.48</v>
      </c>
      <c r="G66" s="93">
        <f>F66/1000</f>
        <v>1.7479999999999999E-2</v>
      </c>
      <c r="I66" s="52" t="s">
        <v>36</v>
      </c>
      <c r="J66" s="64">
        <v>44.99</v>
      </c>
      <c r="K66" s="62">
        <v>4.4990000000000002E-2</v>
      </c>
      <c r="L66" s="52"/>
      <c r="M66" s="52"/>
      <c r="N66" s="52"/>
      <c r="O66" s="52"/>
      <c r="P66" s="52"/>
      <c r="Q66" s="52"/>
      <c r="R66" s="52"/>
      <c r="S66" s="52"/>
    </row>
    <row r="67" spans="1:19" x14ac:dyDescent="0.25">
      <c r="A67" s="115"/>
      <c r="B67" s="116"/>
      <c r="C67" s="96"/>
      <c r="D67" s="96" t="s">
        <v>155</v>
      </c>
      <c r="E67" s="96"/>
      <c r="F67" s="94"/>
      <c r="G67" s="93"/>
      <c r="I67" s="52" t="s">
        <v>37</v>
      </c>
      <c r="J67" s="64">
        <v>53.99</v>
      </c>
      <c r="K67" s="62">
        <v>5.3990000000000003E-2</v>
      </c>
      <c r="L67" s="52"/>
      <c r="M67" s="52"/>
      <c r="N67" s="52"/>
      <c r="O67" s="52"/>
      <c r="P67" s="52"/>
      <c r="Q67" s="52"/>
      <c r="R67" s="52"/>
      <c r="S67" s="52"/>
    </row>
    <row r="68" spans="1:19" x14ac:dyDescent="0.25">
      <c r="A68" s="39"/>
      <c r="B68" s="37"/>
      <c r="C68" s="36"/>
      <c r="D68" s="36"/>
      <c r="E68" s="36"/>
      <c r="F68" s="38"/>
      <c r="G68" s="37"/>
      <c r="J68" s="12"/>
      <c r="K68" s="15"/>
    </row>
    <row r="69" spans="1:19" x14ac:dyDescent="0.25">
      <c r="A69" s="39"/>
      <c r="B69" s="37"/>
      <c r="C69" s="36"/>
      <c r="D69" s="36"/>
      <c r="E69" s="36"/>
      <c r="F69" s="38"/>
      <c r="G69" s="37"/>
      <c r="J69" s="12"/>
      <c r="K69" s="15"/>
    </row>
    <row r="70" spans="1:19" x14ac:dyDescent="0.25">
      <c r="A70" s="39"/>
      <c r="B70" s="37"/>
      <c r="C70" s="36"/>
      <c r="D70" s="36"/>
      <c r="E70" s="36"/>
      <c r="F70" s="38"/>
      <c r="G70" s="37"/>
    </row>
    <row r="71" spans="1:19" x14ac:dyDescent="0.25">
      <c r="A71" s="39"/>
      <c r="B71" s="37"/>
      <c r="C71" s="36"/>
      <c r="D71" s="36"/>
      <c r="E71" s="36"/>
      <c r="F71" s="38"/>
      <c r="G71" s="37"/>
    </row>
    <row r="72" spans="1:19" x14ac:dyDescent="0.25">
      <c r="A72" s="39"/>
      <c r="B72" s="37"/>
      <c r="C72" s="36"/>
      <c r="D72" s="36"/>
      <c r="E72" s="36"/>
      <c r="F72" s="38"/>
      <c r="G72" s="37"/>
    </row>
    <row r="73" spans="1:19" x14ac:dyDescent="0.25">
      <c r="A73" s="39"/>
      <c r="B73" s="37"/>
      <c r="C73" s="36"/>
      <c r="D73" s="36"/>
      <c r="E73" s="36"/>
      <c r="F73" s="38"/>
      <c r="G73" s="37"/>
    </row>
    <row r="74" spans="1:19" x14ac:dyDescent="0.25">
      <c r="A74" s="39"/>
      <c r="B74" s="37"/>
      <c r="C74" s="36"/>
      <c r="D74" s="36"/>
      <c r="E74" s="36"/>
      <c r="F74" s="38"/>
      <c r="G74" s="37"/>
    </row>
    <row r="75" spans="1:19" x14ac:dyDescent="0.25">
      <c r="A75" s="39"/>
      <c r="B75" s="37"/>
      <c r="C75" s="36"/>
      <c r="D75" s="36"/>
      <c r="E75" s="36"/>
      <c r="F75" s="38"/>
      <c r="G75" s="37"/>
    </row>
    <row r="76" spans="1:19" x14ac:dyDescent="0.25">
      <c r="A76" s="39"/>
      <c r="B76" s="37"/>
      <c r="C76" s="36"/>
      <c r="D76" s="36"/>
      <c r="E76" s="36"/>
      <c r="F76" s="38"/>
      <c r="G76" s="37"/>
    </row>
    <row r="77" spans="1:19" x14ac:dyDescent="0.25">
      <c r="A77" s="39"/>
      <c r="B77" s="37"/>
      <c r="C77" s="36"/>
      <c r="D77" s="36"/>
      <c r="E77" s="36"/>
      <c r="F77" s="38"/>
      <c r="G77" s="37"/>
    </row>
    <row r="78" spans="1:19" x14ac:dyDescent="0.25">
      <c r="A78" s="39"/>
      <c r="B78" s="37"/>
      <c r="C78" s="36"/>
      <c r="D78" s="36"/>
      <c r="E78" s="36"/>
      <c r="F78" s="38"/>
      <c r="G78" s="37"/>
    </row>
    <row r="79" spans="1:19" x14ac:dyDescent="0.25">
      <c r="A79" s="39"/>
      <c r="B79" s="37"/>
      <c r="C79" s="36"/>
      <c r="D79" s="36"/>
      <c r="E79" s="36"/>
      <c r="F79" s="38"/>
      <c r="G79" s="37"/>
    </row>
    <row r="80" spans="1:19" x14ac:dyDescent="0.25">
      <c r="A80" s="39"/>
      <c r="B80" s="37"/>
      <c r="C80" s="36"/>
      <c r="D80" s="36"/>
      <c r="E80" s="36"/>
      <c r="F80" s="38"/>
      <c r="G80" s="37"/>
    </row>
    <row r="81" spans="1:7" x14ac:dyDescent="0.25">
      <c r="A81" s="39"/>
      <c r="B81" s="37"/>
      <c r="C81" s="36"/>
      <c r="D81" s="36"/>
      <c r="E81" s="36"/>
      <c r="F81" s="38"/>
      <c r="G81" s="37"/>
    </row>
    <row r="82" spans="1:7" x14ac:dyDescent="0.25">
      <c r="A82" s="39"/>
      <c r="B82" s="37"/>
      <c r="C82" s="36"/>
      <c r="D82" s="36"/>
      <c r="E82" s="36"/>
      <c r="F82" s="38"/>
      <c r="G82" s="37"/>
    </row>
    <row r="83" spans="1:7" x14ac:dyDescent="0.25">
      <c r="A83" s="39"/>
      <c r="B83" s="37"/>
      <c r="C83" s="36"/>
      <c r="D83" s="36"/>
      <c r="E83" s="36"/>
      <c r="F83" s="38"/>
      <c r="G83" s="37"/>
    </row>
    <row r="84" spans="1:7" x14ac:dyDescent="0.25">
      <c r="A84" s="39"/>
      <c r="B84" s="37"/>
      <c r="C84" s="36"/>
      <c r="D84" s="36"/>
      <c r="E84" s="36"/>
      <c r="F84" s="38"/>
      <c r="G84" s="37"/>
    </row>
    <row r="85" spans="1:7" x14ac:dyDescent="0.25">
      <c r="A85" s="39"/>
      <c r="B85" s="37"/>
      <c r="C85" s="36"/>
      <c r="D85" s="36"/>
      <c r="E85" s="36"/>
      <c r="F85" s="38"/>
      <c r="G85" s="37"/>
    </row>
    <row r="86" spans="1:7" x14ac:dyDescent="0.25">
      <c r="A86" s="39"/>
      <c r="B86" s="37"/>
      <c r="C86" s="36"/>
      <c r="D86" s="36"/>
      <c r="E86" s="36"/>
      <c r="F86" s="38"/>
      <c r="G86" s="37"/>
    </row>
    <row r="87" spans="1:7" x14ac:dyDescent="0.25">
      <c r="A87" s="39"/>
      <c r="B87" s="37"/>
      <c r="C87" s="36"/>
      <c r="D87" s="36"/>
      <c r="E87" s="36"/>
      <c r="F87" s="38"/>
      <c r="G87" s="37"/>
    </row>
    <row r="88" spans="1:7" x14ac:dyDescent="0.25">
      <c r="A88" s="39"/>
      <c r="B88" s="37"/>
      <c r="C88" s="36"/>
      <c r="D88" s="36"/>
      <c r="E88" s="36"/>
      <c r="F88" s="38"/>
      <c r="G88" s="37"/>
    </row>
    <row r="89" spans="1:7" x14ac:dyDescent="0.25">
      <c r="A89" s="39"/>
      <c r="B89" s="37"/>
      <c r="C89" s="36"/>
      <c r="D89" s="36"/>
      <c r="E89" s="36"/>
      <c r="F89" s="38"/>
      <c r="G89" s="37"/>
    </row>
    <row r="90" spans="1:7" x14ac:dyDescent="0.25">
      <c r="A90" s="39"/>
      <c r="B90" s="37"/>
      <c r="C90" s="36"/>
      <c r="D90" s="36"/>
      <c r="E90" s="36"/>
      <c r="F90" s="38"/>
      <c r="G90" s="37"/>
    </row>
    <row r="91" spans="1:7" x14ac:dyDescent="0.25">
      <c r="A91" s="39"/>
      <c r="B91" s="37"/>
      <c r="C91" s="36"/>
      <c r="D91" s="36"/>
      <c r="E91" s="36"/>
      <c r="F91" s="38"/>
      <c r="G91" s="37"/>
    </row>
    <row r="92" spans="1:7" x14ac:dyDescent="0.25">
      <c r="A92" s="39"/>
      <c r="B92" s="37"/>
      <c r="C92" s="36"/>
      <c r="D92" s="36"/>
      <c r="E92" s="36"/>
      <c r="F92" s="38"/>
      <c r="G92" s="37"/>
    </row>
    <row r="93" spans="1:7" x14ac:dyDescent="0.25">
      <c r="A93" s="39"/>
      <c r="B93" s="37"/>
      <c r="C93" s="36"/>
      <c r="D93" s="36"/>
      <c r="E93" s="36"/>
      <c r="F93" s="38"/>
      <c r="G93" s="37"/>
    </row>
    <row r="94" spans="1:7" x14ac:dyDescent="0.25">
      <c r="A94" s="39"/>
      <c r="B94" s="37"/>
      <c r="C94" s="36"/>
      <c r="D94" s="36"/>
      <c r="E94" s="36"/>
      <c r="F94" s="38"/>
      <c r="G94" s="37"/>
    </row>
    <row r="95" spans="1:7" x14ac:dyDescent="0.25">
      <c r="A95" s="39"/>
      <c r="B95" s="37"/>
      <c r="C95" s="36"/>
      <c r="D95" s="36"/>
      <c r="E95" s="36"/>
      <c r="F95" s="38"/>
      <c r="G95" s="37"/>
    </row>
    <row r="96" spans="1:7" x14ac:dyDescent="0.25">
      <c r="A96" s="39"/>
      <c r="B96" s="37"/>
      <c r="C96" s="36"/>
      <c r="D96" s="36"/>
      <c r="E96" s="36"/>
      <c r="F96" s="38"/>
      <c r="G96" s="37"/>
    </row>
    <row r="97" spans="1:7" x14ac:dyDescent="0.25">
      <c r="A97" s="39"/>
      <c r="B97" s="37"/>
      <c r="C97" s="36"/>
      <c r="D97" s="36"/>
      <c r="E97" s="36"/>
      <c r="F97" s="38"/>
      <c r="G97" s="37"/>
    </row>
    <row r="98" spans="1:7" x14ac:dyDescent="0.25">
      <c r="A98" s="39"/>
      <c r="B98" s="37"/>
      <c r="C98" s="36"/>
      <c r="D98" s="36"/>
      <c r="E98" s="36"/>
      <c r="F98" s="38"/>
      <c r="G98" s="37"/>
    </row>
    <row r="99" spans="1:7" x14ac:dyDescent="0.25">
      <c r="A99" s="39"/>
      <c r="B99" s="37"/>
      <c r="C99" s="36"/>
      <c r="D99" s="36"/>
      <c r="E99" s="36"/>
      <c r="F99" s="38"/>
      <c r="G99" s="37"/>
    </row>
    <row r="100" spans="1:7" x14ac:dyDescent="0.25">
      <c r="A100" s="34"/>
    </row>
  </sheetData>
  <sheetProtection algorithmName="SHA-512" hashValue="ORefjsCgNqzjam8Q3FMMy/uGKc4t8Pbya11aR/0qEaEQ5luS747DjKNiouoCOr5uPTYA+B8Wyeiylj/oEh+bsw==" saltValue="xUyk4Z9b1a0H5rsQ9N/YHg==" spinCount="100000" sheet="1" objects="1" scenarios="1"/>
  <protectedRanges>
    <protectedRange sqref="A2:A67" name="Bereich1"/>
  </protectedRanges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D270-E1F4-444E-AE7C-8F79B45FE250}">
  <sheetPr codeName="Tabelle10"/>
  <dimension ref="A1:M53"/>
  <sheetViews>
    <sheetView topLeftCell="A22" zoomScale="83" workbookViewId="0">
      <selection activeCell="K11" sqref="K11"/>
    </sheetView>
  </sheetViews>
  <sheetFormatPr baseColWidth="10" defaultColWidth="11.42578125" defaultRowHeight="15" x14ac:dyDescent="0.25"/>
  <cols>
    <col min="1" max="1" width="28.42578125" style="3" customWidth="1"/>
    <col min="2" max="2" width="19.85546875" style="3" customWidth="1"/>
    <col min="3" max="3" width="11.42578125" style="3"/>
    <col min="4" max="4" width="12.85546875" style="3" bestFit="1" customWidth="1"/>
    <col min="5" max="5" width="30.140625" style="3" customWidth="1"/>
    <col min="6" max="16384" width="11.42578125" style="3"/>
  </cols>
  <sheetData>
    <row r="1" spans="1:5" x14ac:dyDescent="0.25">
      <c r="A1" s="4" t="s">
        <v>108</v>
      </c>
      <c r="B1" s="5" t="s">
        <v>107</v>
      </c>
      <c r="D1" s="18"/>
      <c r="E1" s="18" t="s">
        <v>118</v>
      </c>
    </row>
    <row r="2" spans="1:5" x14ac:dyDescent="0.25">
      <c r="A2" s="6" t="str">
        <f>Preistabelle!C3 &amp; Preistabelle!D3 &amp; Preistabelle!E3</f>
        <v>BambulabPLASchwarz</v>
      </c>
      <c r="B2" s="8">
        <f>Preistabelle!A3</f>
        <v>10101</v>
      </c>
      <c r="D2" s="19">
        <v>1</v>
      </c>
      <c r="E2" s="18" t="s">
        <v>114</v>
      </c>
    </row>
    <row r="3" spans="1:5" x14ac:dyDescent="0.25">
      <c r="A3" s="6" t="str">
        <f>Preistabelle!C4 &amp; Preistabelle!D4 &amp; Preistabelle!E4</f>
        <v>BambulabPLAWeiß</v>
      </c>
      <c r="B3" s="8">
        <f>Preistabelle!A4</f>
        <v>10201</v>
      </c>
      <c r="D3" s="20">
        <v>2</v>
      </c>
      <c r="E3" s="18" t="s">
        <v>115</v>
      </c>
    </row>
    <row r="4" spans="1:5" x14ac:dyDescent="0.25">
      <c r="A4" s="6" t="str">
        <f>Preistabelle!C5 &amp; Preistabelle!D5 &amp; Preistabelle!E5</f>
        <v>BambulabPLARot</v>
      </c>
      <c r="B4" s="8">
        <f>Preistabelle!A5</f>
        <v>10301</v>
      </c>
      <c r="D4" s="21">
        <v>3</v>
      </c>
      <c r="E4" s="18" t="s">
        <v>116</v>
      </c>
    </row>
    <row r="5" spans="1:5" x14ac:dyDescent="0.25">
      <c r="A5" s="6" t="str">
        <f>Preistabelle!C6 &amp; Preistabelle!D6 &amp; Preistabelle!E6</f>
        <v>BambulabPLABlau</v>
      </c>
      <c r="B5" s="8">
        <f>Preistabelle!A6</f>
        <v>10401</v>
      </c>
      <c r="D5" s="22">
        <v>4</v>
      </c>
      <c r="E5" s="18" t="s">
        <v>117</v>
      </c>
    </row>
    <row r="6" spans="1:5" x14ac:dyDescent="0.25">
      <c r="A6" s="6" t="str">
        <f>Preistabelle!C7 &amp; Preistabelle!D7 &amp; Preistabelle!E7</f>
        <v>BambulabPLAGelb</v>
      </c>
      <c r="B6" s="8">
        <f>Preistabelle!A7</f>
        <v>10501</v>
      </c>
    </row>
    <row r="7" spans="1:5" x14ac:dyDescent="0.25">
      <c r="A7" s="6" t="str">
        <f>Preistabelle!C8 &amp; Preistabelle!D8 &amp; Preistabelle!E8</f>
        <v>BambulabPLAGrün</v>
      </c>
      <c r="B7" s="8">
        <f>Preistabelle!A8</f>
        <v>10601</v>
      </c>
      <c r="E7" s="18" t="s">
        <v>119</v>
      </c>
    </row>
    <row r="8" spans="1:5" x14ac:dyDescent="0.25">
      <c r="A8" s="6" t="str">
        <f>Preistabelle!C9 &amp; Preistabelle!D9 &amp; Preistabelle!E9</f>
        <v>BambulabPLAOrange</v>
      </c>
      <c r="B8" s="8">
        <f>Preistabelle!A9</f>
        <v>10701</v>
      </c>
      <c r="D8" s="43">
        <v>50</v>
      </c>
      <c r="E8" s="18" t="s">
        <v>120</v>
      </c>
    </row>
    <row r="9" spans="1:5" x14ac:dyDescent="0.25">
      <c r="A9" s="6" t="str">
        <f>Preistabelle!C10 &amp; Preistabelle!D10 &amp; Preistabelle!E10</f>
        <v>BambulabPLALila</v>
      </c>
      <c r="B9" s="8">
        <f>Preistabelle!A10</f>
        <v>10801</v>
      </c>
      <c r="E9" s="18" t="s">
        <v>121</v>
      </c>
    </row>
    <row r="10" spans="1:5" x14ac:dyDescent="0.25">
      <c r="A10" s="6" t="str">
        <f>Preistabelle!C11 &amp; Preistabelle!D11 &amp; Preistabelle!E11</f>
        <v>BambulabPLASilber</v>
      </c>
      <c r="B10" s="8">
        <f>Preistabelle!A11</f>
        <v>10901</v>
      </c>
      <c r="E10" s="18" t="s">
        <v>122</v>
      </c>
    </row>
    <row r="11" spans="1:5" x14ac:dyDescent="0.25">
      <c r="A11" s="6" t="str">
        <f>Preistabelle!C12 &amp; Preistabelle!D12 &amp; Preistabelle!E12</f>
        <v/>
      </c>
      <c r="B11" s="8">
        <f>Preistabelle!A12</f>
        <v>0</v>
      </c>
    </row>
    <row r="12" spans="1:5" x14ac:dyDescent="0.25">
      <c r="A12" s="6" t="str">
        <f>Preistabelle!C13 &amp; Preistabelle!D13 &amp; Preistabelle!E13</f>
        <v>BambulabPLA MattSchwarz</v>
      </c>
      <c r="B12" s="8">
        <f>Preistabelle!A13</f>
        <v>11101</v>
      </c>
      <c r="E12" s="18" t="s">
        <v>123</v>
      </c>
    </row>
    <row r="13" spans="1:5" x14ac:dyDescent="0.25">
      <c r="A13" s="6" t="str">
        <f>Preistabelle!C14 &amp; Preistabelle!D14 &amp; Preistabelle!E14</f>
        <v>BambulabPLA MattWeiß</v>
      </c>
      <c r="B13" s="8">
        <f>Preistabelle!A14</f>
        <v>11201</v>
      </c>
      <c r="E13" s="18" t="s">
        <v>20</v>
      </c>
    </row>
    <row r="14" spans="1:5" x14ac:dyDescent="0.25">
      <c r="A14" s="6" t="str">
        <f>Preistabelle!C15 &amp; Preistabelle!D15 &amp; Preistabelle!E15</f>
        <v>BambulabPLA MattRot</v>
      </c>
      <c r="B14" s="8">
        <f>Preistabelle!A15</f>
        <v>11301</v>
      </c>
      <c r="E14" s="18" t="s">
        <v>124</v>
      </c>
    </row>
    <row r="15" spans="1:5" x14ac:dyDescent="0.25">
      <c r="A15" s="6" t="str">
        <f>Preistabelle!C16 &amp; Preistabelle!D16 &amp; Preistabelle!E16</f>
        <v/>
      </c>
      <c r="B15" s="8">
        <f>Preistabelle!A16</f>
        <v>0</v>
      </c>
      <c r="E15" s="18" t="s">
        <v>125</v>
      </c>
    </row>
    <row r="16" spans="1:5" x14ac:dyDescent="0.25">
      <c r="A16" s="6" t="str">
        <f>Preistabelle!C17 &amp; Preistabelle!D17 &amp; Preistabelle!E17</f>
        <v>BambulabPETGSchwarz</v>
      </c>
      <c r="B16" s="8">
        <f>Preistabelle!A17</f>
        <v>20101</v>
      </c>
    </row>
    <row r="17" spans="1:13" x14ac:dyDescent="0.25">
      <c r="A17" s="6" t="str">
        <f>Preistabelle!C18 &amp; Preistabelle!D18 &amp; Preistabelle!E18</f>
        <v>BambulabPETGWeiß</v>
      </c>
      <c r="B17" s="8">
        <f>Preistabelle!A18</f>
        <v>20201</v>
      </c>
      <c r="E17" s="7" t="s">
        <v>150</v>
      </c>
    </row>
    <row r="18" spans="1:13" x14ac:dyDescent="0.25">
      <c r="A18" s="6" t="str">
        <f>Preistabelle!C19 &amp; Preistabelle!D19 &amp; Preistabelle!E19</f>
        <v>BambulabPETGRot</v>
      </c>
      <c r="B18" s="8">
        <f>Preistabelle!A19</f>
        <v>20301</v>
      </c>
      <c r="E18" s="7" t="s">
        <v>151</v>
      </c>
    </row>
    <row r="19" spans="1:13" x14ac:dyDescent="0.25">
      <c r="A19" s="6" t="str">
        <f>Preistabelle!C20 &amp; Preistabelle!D20 &amp; Preistabelle!E20</f>
        <v>BambulabPETGBlau</v>
      </c>
      <c r="B19" s="8">
        <f>Preistabelle!A20</f>
        <v>20401</v>
      </c>
      <c r="E19" s="7" t="s">
        <v>153</v>
      </c>
    </row>
    <row r="20" spans="1:13" x14ac:dyDescent="0.25">
      <c r="A20" s="6" t="str">
        <f>Preistabelle!C21 &amp; Preistabelle!D21 &amp; Preistabelle!E21</f>
        <v>BambulabPETGGelb</v>
      </c>
      <c r="B20" s="8">
        <f>Preistabelle!A21</f>
        <v>20501</v>
      </c>
      <c r="E20" s="7" t="s">
        <v>152</v>
      </c>
    </row>
    <row r="21" spans="1:13" x14ac:dyDescent="0.25">
      <c r="A21" s="6" t="str">
        <f>Preistabelle!C22 &amp; Preistabelle!D22 &amp; Preistabelle!E22</f>
        <v/>
      </c>
      <c r="B21" s="8">
        <f>Preistabelle!A22</f>
        <v>0</v>
      </c>
      <c r="E21" s="7" t="s">
        <v>154</v>
      </c>
    </row>
    <row r="22" spans="1:13" x14ac:dyDescent="0.25">
      <c r="A22" s="6" t="str">
        <f>Preistabelle!C23 &amp; Preistabelle!D23 &amp; Preistabelle!E23</f>
        <v>BambulabABSSchwarz</v>
      </c>
      <c r="B22" s="8">
        <f>Preistabelle!A23</f>
        <v>30101</v>
      </c>
      <c r="E22" s="7" t="s">
        <v>99</v>
      </c>
    </row>
    <row r="23" spans="1:13" x14ac:dyDescent="0.25">
      <c r="A23" s="6" t="str">
        <f>Preistabelle!C24 &amp; Preistabelle!D24 &amp; Preistabelle!E24</f>
        <v>BambulabABSWeiß</v>
      </c>
      <c r="B23" s="8">
        <f>Preistabelle!A24</f>
        <v>30201</v>
      </c>
    </row>
    <row r="24" spans="1:13" x14ac:dyDescent="0.25">
      <c r="A24" s="6" t="str">
        <f>Preistabelle!C25 &amp; Preistabelle!D25 &amp; Preistabelle!E25</f>
        <v>BambulabABSRot</v>
      </c>
      <c r="B24" s="8">
        <f>Preistabelle!A25</f>
        <v>30301</v>
      </c>
    </row>
    <row r="25" spans="1:13" x14ac:dyDescent="0.25">
      <c r="A25" s="6" t="str">
        <f>Preistabelle!C26 &amp; Preistabelle!D26 &amp; Preistabelle!E26</f>
        <v>BambulabABSBlau</v>
      </c>
      <c r="B25" s="8">
        <f>Preistabelle!A26</f>
        <v>30401</v>
      </c>
      <c r="I25" s="3" t="s">
        <v>156</v>
      </c>
    </row>
    <row r="26" spans="1:13" x14ac:dyDescent="0.25">
      <c r="A26" s="6" t="str">
        <f>Preistabelle!C27 &amp; Preistabelle!D27 &amp; Preistabelle!E27</f>
        <v/>
      </c>
      <c r="B26" s="8">
        <f>Preistabelle!A27</f>
        <v>0</v>
      </c>
    </row>
    <row r="27" spans="1:13" x14ac:dyDescent="0.25">
      <c r="A27" s="6" t="str">
        <f>Preistabelle!C28 &amp; Preistabelle!D28 &amp; Preistabelle!E28</f>
        <v>BambulabTPUSchwarz</v>
      </c>
      <c r="B27" s="8">
        <f>Preistabelle!A28</f>
        <v>40101</v>
      </c>
    </row>
    <row r="28" spans="1:13" x14ac:dyDescent="0.25">
      <c r="A28" s="6" t="str">
        <f>Preistabelle!C29 &amp; Preistabelle!D29 &amp; Preistabelle!E29</f>
        <v>BambulabTPUWeiß</v>
      </c>
      <c r="B28" s="8">
        <f>Preistabelle!A29</f>
        <v>40201</v>
      </c>
      <c r="M28" s="3" t="s">
        <v>157</v>
      </c>
    </row>
    <row r="29" spans="1:13" x14ac:dyDescent="0.25">
      <c r="A29" s="6" t="str">
        <f>Preistabelle!C30 &amp; Preistabelle!D30 &amp; Preistabelle!E30</f>
        <v/>
      </c>
      <c r="B29" s="8">
        <f>Preistabelle!A30</f>
        <v>0</v>
      </c>
    </row>
    <row r="30" spans="1:13" x14ac:dyDescent="0.25">
      <c r="A30" s="6" t="str">
        <f>Preistabelle!C31 &amp; Preistabelle!D31 &amp; Preistabelle!E31</f>
        <v>BambulabPLA SupWeiß</v>
      </c>
      <c r="B30" s="8">
        <f>Preistabelle!A31</f>
        <v>120201</v>
      </c>
    </row>
    <row r="31" spans="1:13" x14ac:dyDescent="0.25">
      <c r="A31" s="6" t="str">
        <f>Preistabelle!C32 &amp; Preistabelle!D32 &amp; Preistabelle!E32</f>
        <v/>
      </c>
      <c r="B31" s="8">
        <f>Preistabelle!A32</f>
        <v>0</v>
      </c>
    </row>
    <row r="32" spans="1:13" x14ac:dyDescent="0.25">
      <c r="A32" s="6" t="str">
        <f>Preistabelle!C33 &amp; Preistabelle!D33 &amp; Preistabelle!E33</f>
        <v/>
      </c>
      <c r="B32" s="8">
        <f>Preistabelle!A33</f>
        <v>0</v>
      </c>
    </row>
    <row r="33" spans="1:2" x14ac:dyDescent="0.25">
      <c r="A33" s="6" t="str">
        <f>Preistabelle!C34 &amp; Preistabelle!D34 &amp; Preistabelle!E34</f>
        <v>RedlinePLASchwarz</v>
      </c>
      <c r="B33" s="8">
        <f>Preistabelle!A34</f>
        <v>10102</v>
      </c>
    </row>
    <row r="34" spans="1:2" x14ac:dyDescent="0.25">
      <c r="A34" s="6" t="str">
        <f>Preistabelle!C35 &amp; Preistabelle!D35 &amp; Preistabelle!E35</f>
        <v>RedlinePLAWeiß</v>
      </c>
      <c r="B34" s="8">
        <f>Preistabelle!A35</f>
        <v>10202</v>
      </c>
    </row>
    <row r="35" spans="1:2" x14ac:dyDescent="0.25">
      <c r="A35" s="6" t="str">
        <f>Preistabelle!C36 &amp; Preistabelle!D36 &amp; Preistabelle!E36</f>
        <v>RedlinePLARot</v>
      </c>
      <c r="B35" s="8">
        <f>Preistabelle!A36</f>
        <v>10302</v>
      </c>
    </row>
    <row r="36" spans="1:2" x14ac:dyDescent="0.25">
      <c r="A36" s="6" t="str">
        <f>Preistabelle!C37 &amp; Preistabelle!D37 &amp; Preistabelle!E37</f>
        <v>RedlinePLABlau</v>
      </c>
      <c r="B36" s="8">
        <f>Preistabelle!A37</f>
        <v>10402</v>
      </c>
    </row>
    <row r="37" spans="1:2" x14ac:dyDescent="0.25">
      <c r="A37" s="6" t="str">
        <f>Preistabelle!C38 &amp; Preistabelle!D38 &amp; Preistabelle!E38</f>
        <v>RedlinePLAGelb</v>
      </c>
      <c r="B37" s="8">
        <f>Preistabelle!A38</f>
        <v>10502</v>
      </c>
    </row>
    <row r="38" spans="1:2" x14ac:dyDescent="0.25">
      <c r="A38" s="6" t="str">
        <f>Preistabelle!C39 &amp; Preistabelle!D39 &amp; Preistabelle!E39</f>
        <v>RedlinePLAGrün</v>
      </c>
      <c r="B38" s="8">
        <f>Preistabelle!A39</f>
        <v>10602</v>
      </c>
    </row>
    <row r="39" spans="1:2" x14ac:dyDescent="0.25">
      <c r="A39" s="6" t="str">
        <f>Preistabelle!C40 &amp; Preistabelle!D40 &amp; Preistabelle!E40</f>
        <v>RedlinePLAOrange</v>
      </c>
      <c r="B39" s="8">
        <f>Preistabelle!A40</f>
        <v>10702</v>
      </c>
    </row>
    <row r="40" spans="1:2" x14ac:dyDescent="0.25">
      <c r="A40" s="6" t="str">
        <f>Preistabelle!C41 &amp; Preistabelle!D41 &amp; Preistabelle!E41</f>
        <v>RedlinePLALila</v>
      </c>
      <c r="B40" s="8">
        <f>Preistabelle!A41</f>
        <v>10802</v>
      </c>
    </row>
    <row r="41" spans="1:2" x14ac:dyDescent="0.25">
      <c r="A41" s="6" t="str">
        <f>Preistabelle!C42 &amp; Preistabelle!D42 &amp; Preistabelle!E42</f>
        <v>RedlinePLASilber</v>
      </c>
      <c r="B41" s="8">
        <f>Preistabelle!A42</f>
        <v>10902</v>
      </c>
    </row>
    <row r="42" spans="1:2" x14ac:dyDescent="0.25">
      <c r="A42" s="6" t="str">
        <f>Preistabelle!C43 &amp; Preistabelle!D43 &amp; Preistabelle!E43</f>
        <v/>
      </c>
      <c r="B42" s="8">
        <f>Preistabelle!A43</f>
        <v>0</v>
      </c>
    </row>
    <row r="43" spans="1:2" x14ac:dyDescent="0.25">
      <c r="A43" s="6" t="str">
        <f>Preistabelle!C44 &amp; Preistabelle!D44 &amp; Preistabelle!E44</f>
        <v>RedlinePETGSchwarz</v>
      </c>
      <c r="B43" s="8">
        <f>Preistabelle!A44</f>
        <v>20102</v>
      </c>
    </row>
    <row r="44" spans="1:2" x14ac:dyDescent="0.25">
      <c r="A44" s="6" t="str">
        <f>Preistabelle!C45 &amp; Preistabelle!D45 &amp; Preistabelle!E45</f>
        <v>RedlinePETGWeiß</v>
      </c>
      <c r="B44" s="8">
        <f>Preistabelle!A45</f>
        <v>20202</v>
      </c>
    </row>
    <row r="45" spans="1:2" x14ac:dyDescent="0.25">
      <c r="A45" s="6" t="str">
        <f>Preistabelle!C46 &amp; Preistabelle!D46 &amp; Preistabelle!E46</f>
        <v>RedlinePETGRot</v>
      </c>
      <c r="B45" s="8">
        <f>Preistabelle!A46</f>
        <v>20302</v>
      </c>
    </row>
    <row r="46" spans="1:2" x14ac:dyDescent="0.25">
      <c r="A46" s="6" t="str">
        <f>Preistabelle!C47 &amp; Preistabelle!D47 &amp; Preistabelle!E47</f>
        <v>RedlinePETGBlau</v>
      </c>
      <c r="B46" s="8">
        <f>Preistabelle!A47</f>
        <v>20402</v>
      </c>
    </row>
    <row r="47" spans="1:2" x14ac:dyDescent="0.25">
      <c r="A47" s="6" t="str">
        <f>Preistabelle!C48 &amp; Preistabelle!D48 &amp; Preistabelle!E48</f>
        <v>RedlinePETGGelb</v>
      </c>
      <c r="B47" s="8">
        <f>Preistabelle!A48</f>
        <v>20502</v>
      </c>
    </row>
    <row r="48" spans="1:2" x14ac:dyDescent="0.25">
      <c r="A48" s="9" t="str">
        <f>Preistabelle!C49 &amp; Preistabelle!D49 &amp; Preistabelle!E49</f>
        <v/>
      </c>
      <c r="B48" s="11">
        <f>Preistabelle!A49</f>
        <v>0</v>
      </c>
    </row>
    <row r="52" spans="5:5" x14ac:dyDescent="0.25">
      <c r="E52" s="3" t="str">
        <f>Preistabelle!C50 &amp; Preistabelle!D50 &amp; Preistabelle!E50</f>
        <v>RedlineABSSchwarz</v>
      </c>
    </row>
    <row r="53" spans="5:5" x14ac:dyDescent="0.25">
      <c r="E53" s="3" t="str">
        <f>Preistabelle!C51 &amp; Preistabelle!D51 &amp; Preistabelle!E51</f>
        <v>RedlineABSWeiß</v>
      </c>
    </row>
  </sheetData>
  <sheetProtection algorithmName="SHA-512" hashValue="r3OIj7kM+qfaJhmP8suLLyAyOp8Yx58fOhBvTvjLCT45erXjnC+MPEsBNAgwz0FVI3mrf1Clv8jkOjNax3VsNQ==" saltValue="ASIi26o6F+Vs+jzXfa4egw==" spinCount="100000" sheet="1" objects="1" scenarios="1" selectLockedCells="1" selectUnlockedCells="1"/>
  <phoneticPr fontId="2" type="noConversion"/>
  <conditionalFormatting sqref="D2:D5">
    <cfRule type="iconSet" priority="1">
      <iconSet iconSet="5Quarters">
        <cfvo type="percent" val="0"/>
        <cfvo type="num" val="1"/>
        <cfvo type="num" val="2"/>
        <cfvo type="num" val="3"/>
        <cfvo type="num" val="4"/>
      </iconSet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">
    <dataValidation type="list" allowBlank="1" showInputMessage="1" showErrorMessage="1" sqref="E8:E10" xr:uid="{44C62755-3371-4C85-9DCF-F747D9A008F5}">
      <formula1>$E$8:$E$10</formula1>
    </dataValidation>
    <dataValidation type="list" allowBlank="1" showInputMessage="1" showErrorMessage="1" sqref="E18" xr:uid="{E2CF736F-A1AC-456A-A682-463BB04339ED}">
      <formula1>E18:E22</formula1>
    </dataValidation>
  </dataValidations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483C24-E281-4611-9DF9-CC85319F37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30</vt:i4>
      </vt:variant>
    </vt:vector>
  </HeadingPairs>
  <TitlesOfParts>
    <vt:vector size="34" baseType="lpstr">
      <vt:lpstr>BR | 24 </vt:lpstr>
      <vt:lpstr>VK | 24</vt:lpstr>
      <vt:lpstr>Preistabelle</vt:lpstr>
      <vt:lpstr>Hilfsdaten</vt:lpstr>
      <vt:lpstr>_€_min</vt:lpstr>
      <vt:lpstr>_BLP1pkwh</vt:lpstr>
      <vt:lpstr>_OFgeskWh</vt:lpstr>
      <vt:lpstr>_StP€kWh</vt:lpstr>
      <vt:lpstr>Gewinn_3DD</vt:lpstr>
      <vt:lpstr>GW_3D</vt:lpstr>
      <vt:lpstr>P3D</vt:lpstr>
      <vt:lpstr>P3DE</vt:lpstr>
      <vt:lpstr>PPer_0_5p</vt:lpstr>
      <vt:lpstr>PPer_0_6p</vt:lpstr>
      <vt:lpstr>PPer_1_4p</vt:lpstr>
      <vt:lpstr>PPer_1_5p</vt:lpstr>
      <vt:lpstr>PPer_3p</vt:lpstr>
      <vt:lpstr>PPer_Max_13</vt:lpstr>
      <vt:lpstr>Preis_3D</vt:lpstr>
      <vt:lpstr>Preis_3D_0.00825</vt:lpstr>
      <vt:lpstr>Preis_3D_0.010</vt:lpstr>
      <vt:lpstr>Preis_3D_0.015</vt:lpstr>
      <vt:lpstr>Preis_3D_0.0165</vt:lpstr>
      <vt:lpstr>Preis_3DD</vt:lpstr>
      <vt:lpstr>Preis_3DD_0.00825</vt:lpstr>
      <vt:lpstr>Preis_3DD_0.0165</vt:lpstr>
      <vt:lpstr>Preis_GW_3DD</vt:lpstr>
      <vt:lpstr>Preis_H_3DD</vt:lpstr>
      <vt:lpstr>Preis_inH_3DD</vt:lpstr>
      <vt:lpstr>Preis_K_in_H_3DD</vt:lpstr>
      <vt:lpstr>PreisinH_3DD</vt:lpstr>
      <vt:lpstr>PSoAu_3DE</vt:lpstr>
      <vt:lpstr>PSoAu_Max</vt:lpstr>
      <vt:lpstr>PSoAU3D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klöck</dc:creator>
  <cp:lastModifiedBy>Matthias klöck</cp:lastModifiedBy>
  <dcterms:created xsi:type="dcterms:W3CDTF">2023-01-02T19:12:43Z</dcterms:created>
  <dcterms:modified xsi:type="dcterms:W3CDTF">2024-08-22T11:36:22Z</dcterms:modified>
</cp:coreProperties>
</file>